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00" yWindow="420" windowWidth="15480" windowHeight="11640" tabRatio="232" firstSheet="3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Area" localSheetId="1">'Sheet2'!$A$28:$F$34</definedName>
    <definedName name="_xlnm.Print_Area" localSheetId="3">'Sheet4'!$A$1:$G$23</definedName>
  </definedNames>
  <calcPr fullCalcOnLoad="1"/>
</workbook>
</file>

<file path=xl/sharedStrings.xml><?xml version="1.0" encoding="utf-8"?>
<sst xmlns="http://schemas.openxmlformats.org/spreadsheetml/2006/main" count="173" uniqueCount="104">
  <si>
    <t>03Q2</t>
  </si>
  <si>
    <t>LHCb-light and trigger TDRs</t>
  </si>
  <si>
    <t>Trigger L2/L3 studies</t>
  </si>
  <si>
    <t xml:space="preserve">  Raw data</t>
  </si>
  <si>
    <t>Total storage at CERN</t>
  </si>
  <si>
    <t>DST available at CERN (disk)</t>
  </si>
  <si>
    <t xml:space="preserve">      CERN    </t>
  </si>
  <si>
    <t>Computing Power (kSI95.months)</t>
  </si>
  <si>
    <t xml:space="preserve">      Outside</t>
  </si>
  <si>
    <t>Pre-production</t>
  </si>
  <si>
    <t>Feb-Apr 03</t>
  </si>
  <si>
    <t>Dec 02-Jan 03</t>
  </si>
  <si>
    <t xml:space="preserve">                 0.8GHz.CPUs.months</t>
  </si>
  <si>
    <t>Signal</t>
  </si>
  <si>
    <t>Generic b's and c's</t>
  </si>
  <si>
    <t>Minimum biais</t>
  </si>
  <si>
    <t>Simulation time (s)</t>
  </si>
  <si>
    <t>Reconstruction time (s)</t>
  </si>
  <si>
    <t># of evts (kevts)</t>
  </si>
  <si>
    <t>Total time (Ms)</t>
  </si>
  <si>
    <t>CPU (GHz.days)</t>
  </si>
  <si>
    <t># of channels</t>
  </si>
  <si>
    <t>Specific bckg</t>
  </si>
  <si>
    <t>Acceptance selection at generation</t>
  </si>
  <si>
    <t># of evts without cut (kevts)</t>
  </si>
  <si>
    <t># of evts without cut  (kevts)</t>
  </si>
  <si>
    <t>Simulation time (s/evt)</t>
  </si>
  <si>
    <t>Recons. time             (s/evt)</t>
  </si>
  <si>
    <t>Recons. time         (s/evt)</t>
  </si>
  <si>
    <t>Total time        (Ms)</t>
  </si>
  <si>
    <t>Total time         (Ms)</t>
  </si>
  <si>
    <t># of external spill-over evts (kevts)</t>
  </si>
  <si>
    <t>Min.b. not rec.</t>
  </si>
  <si>
    <t>All rec.</t>
  </si>
  <si>
    <t>Day</t>
  </si>
  <si>
    <t xml:space="preserve">Signal </t>
  </si>
  <si>
    <t>Inclusive B at CERN</t>
  </si>
  <si>
    <t>Inclusive B outside CERN</t>
  </si>
  <si>
    <t>Rate with spillover</t>
  </si>
  <si>
    <t>Rate without spillover</t>
  </si>
  <si>
    <t>Machines outside CERN</t>
  </si>
  <si>
    <t>Machines at CERN</t>
  </si>
  <si>
    <t xml:space="preserve">Specific bckg </t>
  </si>
  <si>
    <t>Inclusive b</t>
  </si>
  <si>
    <t># of external  reusable spill-over evts (kevts)</t>
  </si>
  <si>
    <t>All events</t>
  </si>
  <si>
    <t>Number of events available</t>
  </si>
  <si>
    <t>Storage (Tbytes)</t>
  </si>
  <si>
    <t>Generated at CERN</t>
  </si>
  <si>
    <t>Outside</t>
  </si>
  <si>
    <t>Analysis time         (s/evt)</t>
  </si>
  <si>
    <t xml:space="preserve">  Minimum bias</t>
  </si>
  <si>
    <t xml:space="preserve">  Simulation</t>
  </si>
  <si>
    <t xml:space="preserve">  Reconstruction</t>
  </si>
  <si>
    <t xml:space="preserve">  Analysis</t>
  </si>
  <si>
    <t>03Q3</t>
  </si>
  <si>
    <t>03Q4</t>
  </si>
  <si>
    <t xml:space="preserve">  Signals</t>
  </si>
  <si>
    <t xml:space="preserve">  Backgrounds</t>
  </si>
  <si>
    <t xml:space="preserve">  DST</t>
  </si>
  <si>
    <t>RAWH size</t>
  </si>
  <si>
    <t>OODST2 size</t>
  </si>
  <si>
    <t xml:space="preserve">  DST copied to CERN</t>
  </si>
  <si>
    <t>Year Quarter</t>
  </si>
  <si>
    <t>b inclusive</t>
  </si>
  <si>
    <t>Min. bias</t>
  </si>
  <si>
    <t>Bckg</t>
  </si>
  <si>
    <t>Spillover</t>
  </si>
  <si>
    <t>signal</t>
  </si>
  <si>
    <t>exact</t>
  </si>
  <si>
    <t>applied</t>
  </si>
  <si>
    <t>mbias</t>
  </si>
  <si>
    <t># of rec. evts (Mevts)</t>
  </si>
  <si>
    <t>Institute</t>
  </si>
  <si>
    <t>CERN</t>
  </si>
  <si>
    <t>Bologna</t>
  </si>
  <si>
    <t>Lyon</t>
  </si>
  <si>
    <t>RAL</t>
  </si>
  <si>
    <t>Cambridge</t>
  </si>
  <si>
    <t>Amsterdam/VU</t>
  </si>
  <si>
    <t>Rio</t>
  </si>
  <si>
    <t>Oxford</t>
  </si>
  <si>
    <t>Moscow</t>
  </si>
  <si>
    <t>Edinburgh</t>
  </si>
  <si>
    <t>Liverpool</t>
  </si>
  <si>
    <t>Bristol</t>
  </si>
  <si>
    <t>Imperial College</t>
  </si>
  <si>
    <t>DataGrid</t>
  </si>
  <si>
    <t># of CPU's</t>
  </si>
  <si>
    <t>speed (MHz)</t>
  </si>
  <si>
    <t>si95</t>
  </si>
  <si>
    <t>cpu</t>
  </si>
  <si>
    <t>ksi95.month</t>
  </si>
  <si>
    <t># events summer 02 (real)</t>
  </si>
  <si>
    <t>estimated time (months)</t>
  </si>
  <si>
    <t>Total eventtime (s/evt)</t>
  </si>
  <si>
    <t>Total eventsize (Tbytes)</t>
  </si>
  <si>
    <t># M events Dec 02-Jan 03 (estimated)</t>
  </si>
  <si>
    <t>Tb storage (estimated)</t>
  </si>
  <si>
    <t># M events Dec 02-Jan 03 (real)</t>
  </si>
  <si>
    <t>Tb storage (real)</t>
  </si>
  <si>
    <t># M events Feb-Apr 03 (estimated)</t>
  </si>
  <si>
    <t># M events Feb-Apr 03 (real)</t>
  </si>
  <si>
    <t>Total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</si>
</sst>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[&lt;=9999999]###\-####;\(###\)\ ###\-####"/>
    <numFmt numFmtId="173" formatCode="0.0"/>
    <numFmt numFmtId="174" formatCode="d/mm/yyyy"/>
    <numFmt numFmtId="175" formatCode="0.000000"/>
    <numFmt numFmtId="176" formatCode="0.00000"/>
    <numFmt numFmtId="177" formatCode="0.0000"/>
    <numFmt numFmtId="178" formatCode="0.0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.5"/>
      <name val="Verdana"/>
      <family val="0"/>
    </font>
    <font>
      <b/>
      <sz val="12"/>
      <name val="Verdana"/>
      <family val="0"/>
    </font>
    <font>
      <b/>
      <sz val="8.5"/>
      <name val="Verdana"/>
      <family val="0"/>
    </font>
    <font>
      <sz val="12"/>
      <name val="Comic Sans MS"/>
      <family val="0"/>
    </font>
    <font>
      <b/>
      <sz val="15.5"/>
      <name val="Comic Sans M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5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" fontId="2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3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17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3" fontId="0" fillId="0" borderId="1" xfId="0" applyNumberFormat="1" applyBorder="1" applyAlignment="1">
      <alignment/>
    </xf>
    <xf numFmtId="173" fontId="2" fillId="0" borderId="1" xfId="0" applyNumberFormat="1" applyFont="1" applyBorder="1" applyAlignment="1">
      <alignment/>
    </xf>
    <xf numFmtId="173" fontId="0" fillId="0" borderId="1" xfId="0" applyNumberFormat="1" applyFont="1" applyBorder="1" applyAlignment="1">
      <alignment/>
    </xf>
    <xf numFmtId="173" fontId="1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/>
    </xf>
    <xf numFmtId="173" fontId="3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Production rate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Sheet3!$B$2:$AS$2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Sheet3!$B$3:$AS$3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Sheet3!$B$4:$AS$4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Sheet3!$B$5:$AS$5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Sheet3!$B$6:$AS$6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marker val="1"/>
        <c:axId val="42411419"/>
        <c:axId val="46158452"/>
      </c:lineChart>
      <c:catAx>
        <c:axId val="42411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Day of production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58452"/>
        <c:crosses val="autoZero"/>
        <c:auto val="1"/>
        <c:lblOffset val="100"/>
        <c:noMultiLvlLbl val="0"/>
      </c:catAx>
      <c:valAx>
        <c:axId val="46158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Number of kevts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1141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Production rate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Sheet3!$A$3</c:f>
              <c:strCache>
                <c:ptCount val="1"/>
                <c:pt idx="0">
                  <c:v>Specific bckg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Sheet3!$B$3:$AS$3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Sheet3!$A$6</c:f>
              <c:strCache>
                <c:ptCount val="1"/>
                <c:pt idx="0">
                  <c:v>Inclusive b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Sheet3!$B$6:$AS$6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Sheet3!$A$2</c:f>
              <c:strCache>
                <c:ptCount val="1"/>
                <c:pt idx="0">
                  <c:v>Signal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Sheet3!$B$2:$AS$2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axId val="12772885"/>
        <c:axId val="47847102"/>
      </c:lineChart>
      <c:catAx>
        <c:axId val="12772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Day of production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47102"/>
        <c:crosses val="autoZero"/>
        <c:auto val="1"/>
        <c:lblOffset val="100"/>
        <c:noMultiLvlLbl val="0"/>
      </c:catAx>
      <c:valAx>
        <c:axId val="47847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kevts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7288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342900</xdr:colOff>
      <xdr:row>6</xdr:row>
      <xdr:rowOff>628650</xdr:rowOff>
    </xdr:from>
    <xdr:to>
      <xdr:col>47</xdr:col>
      <xdr:colOff>19050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33108900" y="4629150"/>
        <a:ext cx="54102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6</xdr:row>
      <xdr:rowOff>638175</xdr:rowOff>
    </xdr:from>
    <xdr:to>
      <xdr:col>10</xdr:col>
      <xdr:colOff>514350</xdr:colOff>
      <xdr:row>18</xdr:row>
      <xdr:rowOff>190500</xdr:rowOff>
    </xdr:to>
    <xdr:graphicFrame>
      <xdr:nvGraphicFramePr>
        <xdr:cNvPr id="2" name="Chart 2"/>
        <xdr:cNvGraphicFramePr/>
      </xdr:nvGraphicFramePr>
      <xdr:xfrm>
        <a:off x="3276600" y="4638675"/>
        <a:ext cx="5429250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6"/>
    </sheetView>
  </sheetViews>
  <sheetFormatPr defaultColWidth="9.00390625" defaultRowHeight="12.75"/>
  <cols>
    <col min="1" max="1" width="15.75390625" style="1" customWidth="1"/>
    <col min="2" max="4" width="13.625" style="1" customWidth="1"/>
    <col min="5" max="5" width="12.625" style="1" customWidth="1"/>
    <col min="6" max="6" width="12.75390625" style="1" customWidth="1"/>
    <col min="7" max="16384" width="13.625" style="1" customWidth="1"/>
  </cols>
  <sheetData>
    <row r="1" spans="2:6" s="2" customFormat="1" ht="31.5" customHeight="1">
      <c r="B1" s="7" t="s">
        <v>18</v>
      </c>
      <c r="C1" s="8" t="s">
        <v>16</v>
      </c>
      <c r="D1" s="7" t="s">
        <v>17</v>
      </c>
      <c r="E1" s="7" t="s">
        <v>19</v>
      </c>
      <c r="F1" s="7" t="s">
        <v>20</v>
      </c>
    </row>
    <row r="2" spans="1:6" ht="12.75">
      <c r="A2" s="3" t="s">
        <v>13</v>
      </c>
      <c r="B2" s="5">
        <v>200</v>
      </c>
      <c r="C2" s="5">
        <v>100</v>
      </c>
      <c r="D2" s="5">
        <v>30</v>
      </c>
      <c r="E2" s="5">
        <f>SUM(C2:D2)*B2*1000/1000000</f>
        <v>26</v>
      </c>
      <c r="F2" s="6">
        <f>E2*1000000/86000</f>
        <v>302.3255813953488</v>
      </c>
    </row>
    <row r="3" spans="1:6" ht="12" customHeight="1">
      <c r="A3" s="3" t="s">
        <v>14</v>
      </c>
      <c r="B3" s="5">
        <v>150</v>
      </c>
      <c r="C3" s="5">
        <v>100</v>
      </c>
      <c r="D3" s="5">
        <v>30</v>
      </c>
      <c r="E3" s="5">
        <f>SUM(C3:D3)*B3*1000/1000000</f>
        <v>19.5</v>
      </c>
      <c r="F3" s="6">
        <f>E3*1000000/86000</f>
        <v>226.74418604651163</v>
      </c>
    </row>
    <row r="4" spans="1:6" ht="12.75">
      <c r="A4" s="3" t="s">
        <v>15</v>
      </c>
      <c r="B4" s="5">
        <v>200</v>
      </c>
      <c r="C4" s="5">
        <v>60</v>
      </c>
      <c r="D4" s="5">
        <v>20</v>
      </c>
      <c r="E4" s="5">
        <f>SUM(C4:D4)*B4*1000/1000000</f>
        <v>16</v>
      </c>
      <c r="F4" s="6">
        <f>E4*1000000/86000</f>
        <v>186.04651162790697</v>
      </c>
    </row>
    <row r="5" spans="5:6" ht="12.75">
      <c r="E5" s="7">
        <f>SUM(E2:E4)</f>
        <v>61.5</v>
      </c>
      <c r="F5" s="9">
        <f>E5*1000000/86000</f>
        <v>715.1162790697674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24">
      <selection activeCell="B42" sqref="B42"/>
    </sheetView>
  </sheetViews>
  <sheetFormatPr defaultColWidth="9.00390625" defaultRowHeight="12.75"/>
  <cols>
    <col min="1" max="1" width="15.875" style="0" customWidth="1"/>
    <col min="2" max="2" width="8.125" style="0" customWidth="1"/>
    <col min="3" max="3" width="9.375" style="0" customWidth="1"/>
    <col min="4" max="4" width="10.25390625" style="0" customWidth="1"/>
    <col min="5" max="5" width="9.625" style="13" customWidth="1"/>
    <col min="6" max="6" width="10.25390625" style="0" customWidth="1"/>
    <col min="8" max="8" width="9.375" style="13" customWidth="1"/>
    <col min="9" max="9" width="10.75390625" style="13" customWidth="1"/>
    <col min="10" max="16384" width="11.00390625" style="0" customWidth="1"/>
  </cols>
  <sheetData>
    <row r="1" spans="1:9" ht="76.5">
      <c r="A1" s="2"/>
      <c r="B1" s="7" t="s">
        <v>21</v>
      </c>
      <c r="C1" s="7" t="s">
        <v>24</v>
      </c>
      <c r="D1" s="7" t="s">
        <v>23</v>
      </c>
      <c r="E1" s="10" t="s">
        <v>31</v>
      </c>
      <c r="F1" s="8" t="s">
        <v>26</v>
      </c>
      <c r="G1" s="7" t="s">
        <v>27</v>
      </c>
      <c r="H1" s="10" t="s">
        <v>29</v>
      </c>
      <c r="I1" s="10" t="s">
        <v>20</v>
      </c>
    </row>
    <row r="2" spans="1:9" ht="12.75">
      <c r="A2" s="3" t="s">
        <v>13</v>
      </c>
      <c r="B2" s="4">
        <v>20</v>
      </c>
      <c r="C2" s="5">
        <v>225</v>
      </c>
      <c r="D2" s="16">
        <v>0.3333333333</v>
      </c>
      <c r="E2" s="11">
        <v>0</v>
      </c>
      <c r="F2" s="11">
        <f>B29</f>
        <v>150</v>
      </c>
      <c r="G2" s="5">
        <f>B30</f>
        <v>70</v>
      </c>
      <c r="H2" s="11">
        <f>B2*((C2*D2)*(F2+G2))*1000/1000000</f>
        <v>329.999999967</v>
      </c>
      <c r="I2" s="14">
        <f>H2*1000000/86000</f>
        <v>3837.2093019418608</v>
      </c>
    </row>
    <row r="3" spans="1:9" ht="12.75">
      <c r="A3" s="3" t="s">
        <v>22</v>
      </c>
      <c r="B3" s="4">
        <v>20</v>
      </c>
      <c r="C3" s="5">
        <v>450</v>
      </c>
      <c r="D3" s="16">
        <v>0.33333333</v>
      </c>
      <c r="E3" s="11">
        <f>B3*C3*D3*1.5</f>
        <v>4499.999954999999</v>
      </c>
      <c r="F3" s="5">
        <f>C29</f>
        <v>100</v>
      </c>
      <c r="G3" s="5">
        <f>C30</f>
        <v>70</v>
      </c>
      <c r="H3" s="11">
        <f>B3*((C3*D3)*(F3+G3))*1000/1000000</f>
        <v>509.99999490000005</v>
      </c>
      <c r="I3" s="14">
        <f>H3*1000000/86000</f>
        <v>5930.232498837209</v>
      </c>
    </row>
    <row r="4" spans="1:9" ht="25.5">
      <c r="A4" s="3" t="s">
        <v>14</v>
      </c>
      <c r="B4" s="4">
        <v>1</v>
      </c>
      <c r="C4" s="5">
        <v>15000</v>
      </c>
      <c r="D4" s="5">
        <v>1</v>
      </c>
      <c r="E4" s="11">
        <f>B4*C4*D4*1.5</f>
        <v>22500</v>
      </c>
      <c r="F4" s="5">
        <f>D29</f>
        <v>100</v>
      </c>
      <c r="G4" s="5">
        <f>D30</f>
        <v>70</v>
      </c>
      <c r="H4" s="11">
        <f>B4*((C4*D4)*(F4+G4))*1000/1000000</f>
        <v>2550</v>
      </c>
      <c r="I4" s="14">
        <f>H4*1000000/86000</f>
        <v>29651.162790697676</v>
      </c>
    </row>
    <row r="5" spans="1:9" ht="12.75">
      <c r="A5" s="3" t="s">
        <v>15</v>
      </c>
      <c r="B5" s="4">
        <v>1</v>
      </c>
      <c r="C5" s="11">
        <f>SUM(E2:E4)</f>
        <v>26999.999955</v>
      </c>
      <c r="D5" s="5">
        <v>1</v>
      </c>
      <c r="E5" s="11">
        <v>0</v>
      </c>
      <c r="F5" s="5">
        <f>E29</f>
        <v>25</v>
      </c>
      <c r="G5" s="5">
        <f>E30</f>
        <v>18</v>
      </c>
      <c r="H5" s="11">
        <f>B5*C5*D5*(F5+G5/3)*1000/1000000</f>
        <v>836.999998605</v>
      </c>
      <c r="I5" s="14">
        <f>H5*1000000/86000</f>
        <v>9732.558123313953</v>
      </c>
    </row>
    <row r="6" spans="1:9" ht="12.75">
      <c r="A6" s="1"/>
      <c r="B6" s="1"/>
      <c r="C6" s="1"/>
      <c r="D6" s="1"/>
      <c r="E6" s="12"/>
      <c r="F6" s="1"/>
      <c r="G6" s="1"/>
      <c r="H6" s="10">
        <f>SUM(H2:H5)</f>
        <v>4226.999993472</v>
      </c>
      <c r="I6" s="15">
        <f>H6*1000000/86000</f>
        <v>49151.1627147907</v>
      </c>
    </row>
    <row r="7" spans="1:9" ht="12.75">
      <c r="A7" s="1"/>
      <c r="B7" s="1"/>
      <c r="C7" s="1"/>
      <c r="D7" s="1"/>
      <c r="E7" s="12"/>
      <c r="F7" s="1"/>
      <c r="G7" s="1"/>
      <c r="H7" s="12"/>
      <c r="I7" s="12"/>
    </row>
    <row r="10" spans="1:9" ht="76.5">
      <c r="A10" s="2"/>
      <c r="B10" s="7" t="s">
        <v>21</v>
      </c>
      <c r="C10" s="7" t="s">
        <v>25</v>
      </c>
      <c r="D10" s="7" t="s">
        <v>23</v>
      </c>
      <c r="E10" s="10" t="s">
        <v>31</v>
      </c>
      <c r="F10" s="8" t="s">
        <v>26</v>
      </c>
      <c r="G10" s="7" t="s">
        <v>28</v>
      </c>
      <c r="H10" s="10" t="s">
        <v>30</v>
      </c>
      <c r="I10" s="10" t="s">
        <v>20</v>
      </c>
    </row>
    <row r="11" spans="1:9" ht="12.75">
      <c r="A11" s="3" t="s">
        <v>13</v>
      </c>
      <c r="B11" s="4">
        <v>20</v>
      </c>
      <c r="C11" s="5">
        <v>225</v>
      </c>
      <c r="D11" s="16">
        <v>0.3333333333</v>
      </c>
      <c r="E11" s="11">
        <v>0</v>
      </c>
      <c r="F11" s="11">
        <f>B29</f>
        <v>150</v>
      </c>
      <c r="G11" s="5">
        <f>B30</f>
        <v>70</v>
      </c>
      <c r="H11" s="11">
        <f>B11*C11*D11*(F11+G11)*1000/1000000</f>
        <v>329.999999967</v>
      </c>
      <c r="I11" s="14">
        <f aca="true" t="shared" si="0" ref="I11:I16">H11*1000000/86000</f>
        <v>3837.2093019418608</v>
      </c>
    </row>
    <row r="12" spans="1:9" ht="12.75">
      <c r="A12" s="3" t="s">
        <v>22</v>
      </c>
      <c r="B12" s="4">
        <v>20</v>
      </c>
      <c r="C12" s="5">
        <v>450</v>
      </c>
      <c r="D12" s="16">
        <v>0.33333333</v>
      </c>
      <c r="E12" s="11">
        <f>B12*C12*D12*1.5</f>
        <v>4499.999954999999</v>
      </c>
      <c r="F12" s="5">
        <f>C29</f>
        <v>100</v>
      </c>
      <c r="G12" s="5">
        <f>C30</f>
        <v>70</v>
      </c>
      <c r="H12" s="11">
        <f>B12*((C12*D12)*(F12+G12))*1000/1000000</f>
        <v>509.99999490000005</v>
      </c>
      <c r="I12" s="14">
        <f t="shared" si="0"/>
        <v>5930.232498837209</v>
      </c>
    </row>
    <row r="13" spans="1:9" ht="25.5">
      <c r="A13" s="3" t="s">
        <v>14</v>
      </c>
      <c r="B13" s="4">
        <v>1</v>
      </c>
      <c r="C13" s="5">
        <v>15000</v>
      </c>
      <c r="D13" s="5">
        <v>0.4</v>
      </c>
      <c r="E13" s="11">
        <f>B13*C13*D13*1.5</f>
        <v>9000</v>
      </c>
      <c r="F13" s="5">
        <f>D29</f>
        <v>100</v>
      </c>
      <c r="G13" s="5">
        <f>D30</f>
        <v>70</v>
      </c>
      <c r="H13" s="11">
        <f>B13*((C13*D13)*(F13+G13))*1000/1000000</f>
        <v>1020</v>
      </c>
      <c r="I13" s="14">
        <f t="shared" si="0"/>
        <v>11860.46511627907</v>
      </c>
    </row>
    <row r="14" spans="1:9" ht="12.75">
      <c r="A14" s="3" t="s">
        <v>15</v>
      </c>
      <c r="B14" s="4">
        <v>1</v>
      </c>
      <c r="C14" s="11">
        <f>SUM(E11:E13)</f>
        <v>13499.999955</v>
      </c>
      <c r="D14" s="5">
        <v>1</v>
      </c>
      <c r="E14" s="11">
        <v>0</v>
      </c>
      <c r="F14" s="5">
        <f>E29</f>
        <v>25</v>
      </c>
      <c r="G14" s="5">
        <f>E30</f>
        <v>18</v>
      </c>
      <c r="H14" s="11">
        <f>B14*C14*D14*(F14+G14/3)*1000/1000000</f>
        <v>418.499998605</v>
      </c>
      <c r="I14" s="14">
        <f t="shared" si="0"/>
        <v>4866.279053546511</v>
      </c>
    </row>
    <row r="15" spans="1:9" ht="15.75" customHeight="1">
      <c r="A15" s="1"/>
      <c r="B15" s="1"/>
      <c r="C15" s="1"/>
      <c r="D15" s="1"/>
      <c r="E15" s="12"/>
      <c r="F15" s="1"/>
      <c r="G15" s="17" t="s">
        <v>33</v>
      </c>
      <c r="H15" s="10">
        <f>SUM(H11:H14)</f>
        <v>2278.499993472</v>
      </c>
      <c r="I15" s="15">
        <f t="shared" si="0"/>
        <v>26494.185970604653</v>
      </c>
    </row>
    <row r="16" spans="1:9" ht="27" customHeight="1">
      <c r="A16" s="1"/>
      <c r="B16" s="1"/>
      <c r="C16" s="1"/>
      <c r="D16" s="1"/>
      <c r="E16" s="12"/>
      <c r="F16" s="1"/>
      <c r="G16" s="17" t="s">
        <v>32</v>
      </c>
      <c r="H16" s="10">
        <f>H15-(G14*B14*C14*D14/2.5)/1000</f>
        <v>2181.299993796</v>
      </c>
      <c r="I16" s="15">
        <f t="shared" si="0"/>
        <v>25363.953416232558</v>
      </c>
    </row>
    <row r="17" ht="10.5" customHeight="1"/>
    <row r="19" spans="1:7" ht="38.25">
      <c r="A19" s="18"/>
      <c r="B19" s="19" t="s">
        <v>13</v>
      </c>
      <c r="C19" s="19" t="s">
        <v>22</v>
      </c>
      <c r="D19" s="19" t="s">
        <v>14</v>
      </c>
      <c r="E19" s="19" t="s">
        <v>15</v>
      </c>
      <c r="F19" s="28"/>
      <c r="G19" s="28"/>
    </row>
    <row r="20" spans="1:7" ht="19.5" customHeight="1">
      <c r="A20" s="19" t="s">
        <v>21</v>
      </c>
      <c r="B20" s="20">
        <v>20</v>
      </c>
      <c r="C20" s="20">
        <v>20</v>
      </c>
      <c r="D20" s="20">
        <v>1</v>
      </c>
      <c r="E20" s="20">
        <v>1</v>
      </c>
      <c r="F20" s="28"/>
      <c r="G20" s="28"/>
    </row>
    <row r="21" spans="1:7" ht="38.25">
      <c r="A21" s="19" t="s">
        <v>25</v>
      </c>
      <c r="B21" s="21">
        <v>225</v>
      </c>
      <c r="C21" s="21">
        <v>450</v>
      </c>
      <c r="D21" s="21">
        <v>15000</v>
      </c>
      <c r="E21" s="22">
        <f>SUM(B24:D24)</f>
        <v>13499.9999955</v>
      </c>
      <c r="F21" s="28"/>
      <c r="G21" s="28"/>
    </row>
    <row r="22" spans="1:7" ht="38.25">
      <c r="A22" s="19" t="s">
        <v>23</v>
      </c>
      <c r="B22" s="23">
        <v>0.3333333333</v>
      </c>
      <c r="C22" s="23">
        <v>0.333333333</v>
      </c>
      <c r="D22" s="21">
        <v>0.4</v>
      </c>
      <c r="E22" s="21">
        <v>1</v>
      </c>
      <c r="F22" s="28"/>
      <c r="G22" s="28"/>
    </row>
    <row r="23" spans="1:7" ht="45" customHeight="1">
      <c r="A23" s="24" t="s">
        <v>46</v>
      </c>
      <c r="B23" s="26">
        <f>B20*B21*B22</f>
        <v>1499.99999985</v>
      </c>
      <c r="C23" s="26">
        <f>C20*C21*C22</f>
        <v>2999.999997</v>
      </c>
      <c r="D23" s="26">
        <f>D20*D21*D22</f>
        <v>6000</v>
      </c>
      <c r="E23" s="26">
        <f>E20*E21*E22/3</f>
        <v>4499.9999985</v>
      </c>
      <c r="F23" s="28"/>
      <c r="G23" s="28"/>
    </row>
    <row r="24" spans="1:7" ht="40.5" customHeight="1">
      <c r="A24" s="24" t="s">
        <v>44</v>
      </c>
      <c r="B24" s="20">
        <v>0</v>
      </c>
      <c r="C24" s="22">
        <f>C23*1.5</f>
        <v>4499.9999955</v>
      </c>
      <c r="D24" s="22">
        <f>D20*D21*D22*1.5</f>
        <v>9000</v>
      </c>
      <c r="E24" s="20">
        <v>0</v>
      </c>
      <c r="F24" s="24" t="s">
        <v>45</v>
      </c>
      <c r="G24" s="29"/>
    </row>
    <row r="25" spans="1:9" ht="25.5">
      <c r="A25" s="24" t="s">
        <v>30</v>
      </c>
      <c r="B25" s="22">
        <f>B20*((B21*B22)*(B29+B30))*1000/1000000</f>
        <v>329.999999967</v>
      </c>
      <c r="C25" s="22">
        <f>C20*((C21*C22)*(C29+C30))*1000/1000000</f>
        <v>509.99999948999994</v>
      </c>
      <c r="D25" s="22">
        <f>D20*((D21*D22)*(D29+D30))*1000/1000000</f>
        <v>1020</v>
      </c>
      <c r="E25" s="22">
        <f>E20*E21*E22*(E29+E30/3)*1000/1000000</f>
        <v>418.4999998605</v>
      </c>
      <c r="F25" s="24">
        <f>SUM(B25:E25)</f>
        <v>2278.4999993174997</v>
      </c>
      <c r="G25" s="13"/>
      <c r="I25"/>
    </row>
    <row r="26" spans="1:9" ht="19.5" customHeight="1">
      <c r="A26" s="24" t="s">
        <v>20</v>
      </c>
      <c r="B26" s="26">
        <f>B25*1000000/86000</f>
        <v>3837.2093019418608</v>
      </c>
      <c r="C26" s="26">
        <f>C25*1000000/86000</f>
        <v>5930.2325522093015</v>
      </c>
      <c r="D26" s="26">
        <f>D25*1000000/86000</f>
        <v>11860.46511627907</v>
      </c>
      <c r="E26" s="26">
        <f>E25*1000000/86000</f>
        <v>4866.279068145349</v>
      </c>
      <c r="F26" s="27">
        <f>F25*1000000/86000</f>
        <v>26494.186038575575</v>
      </c>
      <c r="G26" s="13"/>
      <c r="I26"/>
    </row>
    <row r="28" spans="2:5" ht="12.75">
      <c r="B28" s="34" t="s">
        <v>13</v>
      </c>
      <c r="C28" s="34" t="s">
        <v>66</v>
      </c>
      <c r="D28" s="34" t="s">
        <v>64</v>
      </c>
      <c r="E28" s="34" t="s">
        <v>65</v>
      </c>
    </row>
    <row r="29" spans="1:7" ht="25.5">
      <c r="A29" s="25" t="s">
        <v>26</v>
      </c>
      <c r="B29" s="22">
        <f>D29+2*E29</f>
        <v>150</v>
      </c>
      <c r="C29" s="21">
        <v>100</v>
      </c>
      <c r="D29" s="21">
        <v>100</v>
      </c>
      <c r="E29" s="21">
        <v>25</v>
      </c>
      <c r="F29" s="28"/>
      <c r="G29" s="28"/>
    </row>
    <row r="30" spans="1:9" ht="25.5">
      <c r="A30" s="19" t="s">
        <v>28</v>
      </c>
      <c r="B30" s="21">
        <v>70</v>
      </c>
      <c r="C30" s="21">
        <v>70</v>
      </c>
      <c r="D30" s="21">
        <v>70</v>
      </c>
      <c r="E30" s="21">
        <v>18</v>
      </c>
      <c r="G30" s="13"/>
      <c r="I30"/>
    </row>
    <row r="31" spans="1:9" ht="25.5">
      <c r="A31" s="19" t="s">
        <v>50</v>
      </c>
      <c r="B31" s="21">
        <v>2</v>
      </c>
      <c r="C31" s="21">
        <v>2</v>
      </c>
      <c r="D31" s="21">
        <v>2</v>
      </c>
      <c r="E31" s="21">
        <v>2</v>
      </c>
      <c r="G31" s="13"/>
      <c r="I31"/>
    </row>
    <row r="32" spans="1:5" ht="12.75">
      <c r="A32" s="35" t="s">
        <v>60</v>
      </c>
      <c r="B32" s="39">
        <v>0.9</v>
      </c>
      <c r="C32" s="37">
        <v>0.9</v>
      </c>
      <c r="D32" s="37">
        <v>0.9</v>
      </c>
      <c r="E32" s="38">
        <v>0.4</v>
      </c>
    </row>
    <row r="33" spans="1:5" ht="12.75">
      <c r="A33" s="35" t="s">
        <v>61</v>
      </c>
      <c r="B33" s="39">
        <v>0.25</v>
      </c>
      <c r="C33" s="37">
        <v>0.25</v>
      </c>
      <c r="D33" s="37">
        <v>0.25</v>
      </c>
      <c r="E33" s="38">
        <v>0.1</v>
      </c>
    </row>
    <row r="36" spans="2:9" ht="12.75">
      <c r="B36" s="34" t="s">
        <v>13</v>
      </c>
      <c r="C36" s="34" t="s">
        <v>65</v>
      </c>
      <c r="E36"/>
      <c r="F36" s="13"/>
      <c r="G36" s="13"/>
      <c r="H36"/>
      <c r="I36"/>
    </row>
    <row r="37" spans="1:9" ht="25.5">
      <c r="A37" s="25" t="s">
        <v>26</v>
      </c>
      <c r="B37" s="20">
        <v>100</v>
      </c>
      <c r="C37" s="21">
        <v>25</v>
      </c>
      <c r="E37"/>
      <c r="F37" s="13"/>
      <c r="G37" s="13"/>
      <c r="H37"/>
      <c r="I37"/>
    </row>
    <row r="38" spans="1:9" ht="25.5">
      <c r="A38" s="19" t="s">
        <v>28</v>
      </c>
      <c r="B38" s="21">
        <v>70</v>
      </c>
      <c r="C38" s="21">
        <v>18</v>
      </c>
      <c r="E38"/>
      <c r="F38" s="13"/>
      <c r="G38" s="13"/>
      <c r="H38"/>
      <c r="I38"/>
    </row>
    <row r="39" spans="1:9" ht="12.75">
      <c r="A39" s="35" t="s">
        <v>60</v>
      </c>
      <c r="B39" s="39">
        <v>0.9</v>
      </c>
      <c r="C39" s="38">
        <v>0.4</v>
      </c>
      <c r="E39"/>
      <c r="F39" s="13"/>
      <c r="G39" s="13"/>
      <c r="H39"/>
      <c r="I39"/>
    </row>
    <row r="40" spans="1:9" ht="12.75">
      <c r="A40" s="35" t="s">
        <v>61</v>
      </c>
      <c r="B40" s="39">
        <v>0.25</v>
      </c>
      <c r="C40" s="38">
        <v>0.1</v>
      </c>
      <c r="E40"/>
      <c r="F40" s="13"/>
      <c r="G40" s="13"/>
      <c r="H40"/>
      <c r="I40"/>
    </row>
    <row r="41" spans="1:3" ht="12.75">
      <c r="A41" s="51" t="s">
        <v>95</v>
      </c>
      <c r="B41" s="39">
        <f>B37+2*C37+B38</f>
        <v>220</v>
      </c>
      <c r="C41" s="39">
        <f>2.5*C37+C38</f>
        <v>80.5</v>
      </c>
    </row>
    <row r="42" spans="1:3" ht="12.75">
      <c r="A42" s="52" t="s">
        <v>96</v>
      </c>
      <c r="B42" s="39">
        <f>B39+2*C39+B40</f>
        <v>1.9500000000000002</v>
      </c>
      <c r="C42" s="39">
        <f>C40</f>
        <v>0.1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1"/>
  <sheetViews>
    <sheetView workbookViewId="0" topLeftCell="A1">
      <selection activeCell="L8" sqref="L8"/>
    </sheetView>
  </sheetViews>
  <sheetFormatPr defaultColWidth="10.75390625" defaultRowHeight="22.5" customHeight="1"/>
  <cols>
    <col min="1" max="16384" width="10.75390625" style="30" customWidth="1"/>
  </cols>
  <sheetData>
    <row r="1" spans="1:45" s="31" customFormat="1" ht="52.5" customHeight="1">
      <c r="A1" s="31" t="s">
        <v>34</v>
      </c>
      <c r="C1" s="31">
        <f aca="true" t="shared" si="0" ref="C1:AS1">COLUMN()-2</f>
        <v>1</v>
      </c>
      <c r="D1" s="31">
        <f t="shared" si="0"/>
        <v>2</v>
      </c>
      <c r="E1" s="31">
        <f t="shared" si="0"/>
        <v>3</v>
      </c>
      <c r="F1" s="31">
        <f t="shared" si="0"/>
        <v>4</v>
      </c>
      <c r="G1" s="31">
        <f t="shared" si="0"/>
        <v>5</v>
      </c>
      <c r="H1" s="31">
        <f t="shared" si="0"/>
        <v>6</v>
      </c>
      <c r="I1" s="31">
        <f t="shared" si="0"/>
        <v>7</v>
      </c>
      <c r="J1" s="31">
        <f t="shared" si="0"/>
        <v>8</v>
      </c>
      <c r="K1" s="31">
        <f t="shared" si="0"/>
        <v>9</v>
      </c>
      <c r="L1" s="31">
        <f t="shared" si="0"/>
        <v>10</v>
      </c>
      <c r="M1" s="31">
        <f t="shared" si="0"/>
        <v>11</v>
      </c>
      <c r="N1" s="31">
        <f t="shared" si="0"/>
        <v>12</v>
      </c>
      <c r="O1" s="31">
        <f t="shared" si="0"/>
        <v>13</v>
      </c>
      <c r="P1" s="31">
        <f t="shared" si="0"/>
        <v>14</v>
      </c>
      <c r="Q1" s="31">
        <f t="shared" si="0"/>
        <v>15</v>
      </c>
      <c r="R1" s="31">
        <f t="shared" si="0"/>
        <v>16</v>
      </c>
      <c r="S1" s="31">
        <f t="shared" si="0"/>
        <v>17</v>
      </c>
      <c r="T1" s="31">
        <f t="shared" si="0"/>
        <v>18</v>
      </c>
      <c r="U1" s="31">
        <f t="shared" si="0"/>
        <v>19</v>
      </c>
      <c r="V1" s="31">
        <f t="shared" si="0"/>
        <v>20</v>
      </c>
      <c r="W1" s="31">
        <f t="shared" si="0"/>
        <v>21</v>
      </c>
      <c r="X1" s="31">
        <f t="shared" si="0"/>
        <v>22</v>
      </c>
      <c r="Y1" s="31">
        <f t="shared" si="0"/>
        <v>23</v>
      </c>
      <c r="Z1" s="31">
        <f t="shared" si="0"/>
        <v>24</v>
      </c>
      <c r="AA1" s="31">
        <f t="shared" si="0"/>
        <v>25</v>
      </c>
      <c r="AB1" s="31">
        <f t="shared" si="0"/>
        <v>26</v>
      </c>
      <c r="AC1" s="31">
        <f t="shared" si="0"/>
        <v>27</v>
      </c>
      <c r="AD1" s="31">
        <f t="shared" si="0"/>
        <v>28</v>
      </c>
      <c r="AE1" s="31">
        <f t="shared" si="0"/>
        <v>29</v>
      </c>
      <c r="AF1" s="31">
        <f t="shared" si="0"/>
        <v>30</v>
      </c>
      <c r="AG1" s="31">
        <f t="shared" si="0"/>
        <v>31</v>
      </c>
      <c r="AH1" s="31">
        <f t="shared" si="0"/>
        <v>32</v>
      </c>
      <c r="AI1" s="31">
        <f t="shared" si="0"/>
        <v>33</v>
      </c>
      <c r="AJ1" s="31">
        <f t="shared" si="0"/>
        <v>34</v>
      </c>
      <c r="AK1" s="31">
        <f t="shared" si="0"/>
        <v>35</v>
      </c>
      <c r="AL1" s="31">
        <f t="shared" si="0"/>
        <v>36</v>
      </c>
      <c r="AM1" s="31">
        <f t="shared" si="0"/>
        <v>37</v>
      </c>
      <c r="AN1" s="31">
        <f t="shared" si="0"/>
        <v>38</v>
      </c>
      <c r="AO1" s="31">
        <f t="shared" si="0"/>
        <v>39</v>
      </c>
      <c r="AP1" s="31">
        <f t="shared" si="0"/>
        <v>40</v>
      </c>
      <c r="AQ1" s="31">
        <f t="shared" si="0"/>
        <v>41</v>
      </c>
      <c r="AR1" s="31">
        <f t="shared" si="0"/>
        <v>42</v>
      </c>
      <c r="AS1" s="31">
        <f t="shared" si="0"/>
        <v>43</v>
      </c>
    </row>
    <row r="2" spans="1:13" ht="52.5" customHeight="1">
      <c r="A2" s="30" t="s">
        <v>35</v>
      </c>
      <c r="B2" s="30">
        <v>0</v>
      </c>
      <c r="C2" s="30">
        <f aca="true" t="shared" si="1" ref="C2:L2">B2+$B8*$B10/1000</f>
        <v>146.5909090909091</v>
      </c>
      <c r="D2" s="30">
        <f t="shared" si="1"/>
        <v>293.1818181818182</v>
      </c>
      <c r="E2" s="30">
        <f t="shared" si="1"/>
        <v>439.77272727272725</v>
      </c>
      <c r="F2" s="30">
        <f t="shared" si="1"/>
        <v>586.3636363636364</v>
      </c>
      <c r="G2" s="30">
        <f t="shared" si="1"/>
        <v>732.9545454545455</v>
      </c>
      <c r="H2" s="30">
        <f t="shared" si="1"/>
        <v>879.5454545454546</v>
      </c>
      <c r="I2" s="30">
        <f t="shared" si="1"/>
        <v>1026.1363636363637</v>
      </c>
      <c r="J2" s="30">
        <f t="shared" si="1"/>
        <v>1172.7272727272727</v>
      </c>
      <c r="K2" s="30">
        <f t="shared" si="1"/>
        <v>1319.3181818181818</v>
      </c>
      <c r="L2" s="30">
        <f t="shared" si="1"/>
        <v>1465.9090909090908</v>
      </c>
      <c r="M2" s="30">
        <v>1500</v>
      </c>
    </row>
    <row r="3" spans="1:34" ht="52.5" customHeight="1">
      <c r="A3" s="30" t="s">
        <v>42</v>
      </c>
      <c r="B3" s="30">
        <v>0</v>
      </c>
      <c r="C3" s="30">
        <v>0</v>
      </c>
      <c r="D3" s="30">
        <v>0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0">
        <v>0</v>
      </c>
      <c r="K3" s="30">
        <v>0</v>
      </c>
      <c r="L3" s="30">
        <v>0</v>
      </c>
      <c r="M3" s="30">
        <v>0</v>
      </c>
      <c r="N3" s="30">
        <f aca="true" t="shared" si="2" ref="N3:AG3">M3+$B8*$B10/1000</f>
        <v>146.5909090909091</v>
      </c>
      <c r="O3" s="30">
        <f t="shared" si="2"/>
        <v>293.1818181818182</v>
      </c>
      <c r="P3" s="30">
        <f t="shared" si="2"/>
        <v>439.77272727272725</v>
      </c>
      <c r="Q3" s="30">
        <f t="shared" si="2"/>
        <v>586.3636363636364</v>
      </c>
      <c r="R3" s="30">
        <f t="shared" si="2"/>
        <v>732.9545454545455</v>
      </c>
      <c r="S3" s="30">
        <f t="shared" si="2"/>
        <v>879.5454545454546</v>
      </c>
      <c r="T3" s="30">
        <f t="shared" si="2"/>
        <v>1026.1363636363637</v>
      </c>
      <c r="U3" s="30">
        <f t="shared" si="2"/>
        <v>1172.7272727272727</v>
      </c>
      <c r="V3" s="30">
        <f t="shared" si="2"/>
        <v>1319.3181818181818</v>
      </c>
      <c r="W3" s="30">
        <f t="shared" si="2"/>
        <v>1465.9090909090908</v>
      </c>
      <c r="X3" s="30">
        <f t="shared" si="2"/>
        <v>1612.4999999999998</v>
      </c>
      <c r="Y3" s="30">
        <f t="shared" si="2"/>
        <v>1759.0909090909088</v>
      </c>
      <c r="Z3" s="30">
        <f t="shared" si="2"/>
        <v>1905.6818181818178</v>
      </c>
      <c r="AA3" s="30">
        <f t="shared" si="2"/>
        <v>2052.272727272727</v>
      </c>
      <c r="AB3" s="30">
        <f t="shared" si="2"/>
        <v>2198.863636363636</v>
      </c>
      <c r="AC3" s="30">
        <f t="shared" si="2"/>
        <v>2345.454545454545</v>
      </c>
      <c r="AD3" s="30">
        <f t="shared" si="2"/>
        <v>2492.045454545454</v>
      </c>
      <c r="AE3" s="30">
        <f t="shared" si="2"/>
        <v>2638.636363636363</v>
      </c>
      <c r="AF3" s="30">
        <f t="shared" si="2"/>
        <v>2785.227272727272</v>
      </c>
      <c r="AG3" s="30">
        <f t="shared" si="2"/>
        <v>2931.818181818181</v>
      </c>
      <c r="AH3" s="30">
        <v>3000</v>
      </c>
    </row>
    <row r="4" spans="1:45" ht="52.5" customHeight="1">
      <c r="A4" s="30" t="s">
        <v>37</v>
      </c>
      <c r="B4" s="30">
        <v>0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  <c r="V4" s="30">
        <v>0</v>
      </c>
      <c r="W4" s="30">
        <v>0</v>
      </c>
      <c r="X4" s="30">
        <v>0</v>
      </c>
      <c r="Y4" s="30">
        <v>0</v>
      </c>
      <c r="Z4" s="30">
        <v>0</v>
      </c>
      <c r="AA4" s="30">
        <v>0</v>
      </c>
      <c r="AB4" s="30">
        <v>0</v>
      </c>
      <c r="AC4" s="30">
        <v>0</v>
      </c>
      <c r="AD4" s="30">
        <v>0</v>
      </c>
      <c r="AE4" s="30">
        <v>0</v>
      </c>
      <c r="AF4" s="30">
        <v>0</v>
      </c>
      <c r="AG4" s="30">
        <v>0</v>
      </c>
      <c r="AH4" s="30">
        <v>0</v>
      </c>
      <c r="AI4" s="30">
        <f aca="true" t="shared" si="3" ref="AI4:AS4">AH4+$B8*$B10/1000</f>
        <v>146.5909090909091</v>
      </c>
      <c r="AJ4" s="30">
        <f t="shared" si="3"/>
        <v>293.1818181818182</v>
      </c>
      <c r="AK4" s="30">
        <f t="shared" si="3"/>
        <v>439.77272727272725</v>
      </c>
      <c r="AL4" s="30">
        <f t="shared" si="3"/>
        <v>586.3636363636364</v>
      </c>
      <c r="AM4" s="30">
        <f t="shared" si="3"/>
        <v>732.9545454545455</v>
      </c>
      <c r="AN4" s="30">
        <f t="shared" si="3"/>
        <v>879.5454545454546</v>
      </c>
      <c r="AO4" s="30">
        <f t="shared" si="3"/>
        <v>1026.1363636363637</v>
      </c>
      <c r="AP4" s="30">
        <f t="shared" si="3"/>
        <v>1172.7272727272727</v>
      </c>
      <c r="AQ4" s="30">
        <f t="shared" si="3"/>
        <v>1319.3181818181818</v>
      </c>
      <c r="AR4" s="30">
        <f t="shared" si="3"/>
        <v>1465.9090909090908</v>
      </c>
      <c r="AS4" s="30">
        <f t="shared" si="3"/>
        <v>1612.4999999999998</v>
      </c>
    </row>
    <row r="5" spans="1:45" ht="52.5" customHeight="1">
      <c r="A5" s="30" t="s">
        <v>36</v>
      </c>
      <c r="B5" s="30">
        <v>0</v>
      </c>
      <c r="C5" s="30">
        <f aca="true" t="shared" si="4" ref="C5:K5">B5+$B9*$B11/1000</f>
        <v>113.8235294117647</v>
      </c>
      <c r="D5" s="30">
        <f t="shared" si="4"/>
        <v>227.6470588235294</v>
      </c>
      <c r="E5" s="30">
        <f t="shared" si="4"/>
        <v>341.4705882352941</v>
      </c>
      <c r="F5" s="30">
        <f t="shared" si="4"/>
        <v>455.2941176470588</v>
      </c>
      <c r="G5" s="30">
        <f t="shared" si="4"/>
        <v>569.1176470588234</v>
      </c>
      <c r="H5" s="30">
        <f t="shared" si="4"/>
        <v>682.9411764705881</v>
      </c>
      <c r="I5" s="30">
        <f t="shared" si="4"/>
        <v>796.7647058823527</v>
      </c>
      <c r="J5" s="30">
        <f t="shared" si="4"/>
        <v>910.5882352941173</v>
      </c>
      <c r="K5" s="30">
        <f t="shared" si="4"/>
        <v>1024.411764705882</v>
      </c>
      <c r="L5" s="30">
        <f aca="true" t="shared" si="5" ref="L5:AS5">K5+$B8*$B11/1000</f>
        <v>1112.3663101604275</v>
      </c>
      <c r="M5" s="30">
        <f t="shared" si="5"/>
        <v>1200.320855614973</v>
      </c>
      <c r="N5" s="30">
        <f t="shared" si="5"/>
        <v>1288.2754010695185</v>
      </c>
      <c r="O5" s="30">
        <f t="shared" si="5"/>
        <v>1376.229946524064</v>
      </c>
      <c r="P5" s="30">
        <f t="shared" si="5"/>
        <v>1464.1844919786095</v>
      </c>
      <c r="Q5" s="30">
        <f t="shared" si="5"/>
        <v>1552.139037433155</v>
      </c>
      <c r="R5" s="30">
        <f t="shared" si="5"/>
        <v>1640.0935828877004</v>
      </c>
      <c r="S5" s="30">
        <f t="shared" si="5"/>
        <v>1728.048128342246</v>
      </c>
      <c r="T5" s="30">
        <f t="shared" si="5"/>
        <v>1816.0026737967914</v>
      </c>
      <c r="U5" s="30">
        <f t="shared" si="5"/>
        <v>1903.957219251337</v>
      </c>
      <c r="V5" s="30">
        <f t="shared" si="5"/>
        <v>1991.9117647058824</v>
      </c>
      <c r="W5" s="30">
        <f t="shared" si="5"/>
        <v>2079.866310160428</v>
      </c>
      <c r="X5" s="30">
        <f t="shared" si="5"/>
        <v>2167.8208556149734</v>
      </c>
      <c r="Y5" s="30">
        <f t="shared" si="5"/>
        <v>2255.775401069519</v>
      </c>
      <c r="Z5" s="30">
        <f t="shared" si="5"/>
        <v>2343.7299465240644</v>
      </c>
      <c r="AA5" s="30">
        <f t="shared" si="5"/>
        <v>2431.68449197861</v>
      </c>
      <c r="AB5" s="30">
        <f t="shared" si="5"/>
        <v>2519.6390374331554</v>
      </c>
      <c r="AC5" s="30">
        <f t="shared" si="5"/>
        <v>2607.593582887701</v>
      </c>
      <c r="AD5" s="30">
        <f t="shared" si="5"/>
        <v>2695.5481283422464</v>
      </c>
      <c r="AE5" s="30">
        <f t="shared" si="5"/>
        <v>2783.502673796792</v>
      </c>
      <c r="AF5" s="30">
        <f t="shared" si="5"/>
        <v>2871.4572192513374</v>
      </c>
      <c r="AG5" s="30">
        <f t="shared" si="5"/>
        <v>2959.411764705883</v>
      </c>
      <c r="AH5" s="30">
        <f t="shared" si="5"/>
        <v>3047.3663101604284</v>
      </c>
      <c r="AI5" s="30">
        <f t="shared" si="5"/>
        <v>3135.320855614974</v>
      </c>
      <c r="AJ5" s="30">
        <f t="shared" si="5"/>
        <v>3223.2754010695194</v>
      </c>
      <c r="AK5" s="30">
        <f t="shared" si="5"/>
        <v>3311.229946524065</v>
      </c>
      <c r="AL5" s="30">
        <f t="shared" si="5"/>
        <v>3399.1844919786104</v>
      </c>
      <c r="AM5" s="30">
        <f t="shared" si="5"/>
        <v>3487.139037433156</v>
      </c>
      <c r="AN5" s="30">
        <f t="shared" si="5"/>
        <v>3575.0935828877014</v>
      </c>
      <c r="AO5" s="30">
        <f t="shared" si="5"/>
        <v>3663.048128342247</v>
      </c>
      <c r="AP5" s="30">
        <f t="shared" si="5"/>
        <v>3751.0026737967924</v>
      </c>
      <c r="AQ5" s="30">
        <f t="shared" si="5"/>
        <v>3838.957219251338</v>
      </c>
      <c r="AR5" s="30">
        <f t="shared" si="5"/>
        <v>3926.9117647058833</v>
      </c>
      <c r="AS5" s="30">
        <f t="shared" si="5"/>
        <v>4014.866310160429</v>
      </c>
    </row>
    <row r="6" spans="1:45" ht="52.5" customHeight="1">
      <c r="A6" s="30" t="s">
        <v>43</v>
      </c>
      <c r="B6" s="30">
        <f aca="true" t="shared" si="6" ref="B6:AS6">SUM(B4:B5)</f>
        <v>0</v>
      </c>
      <c r="C6" s="30">
        <f t="shared" si="6"/>
        <v>113.8235294117647</v>
      </c>
      <c r="D6" s="30">
        <f t="shared" si="6"/>
        <v>227.6470588235294</v>
      </c>
      <c r="E6" s="30">
        <f t="shared" si="6"/>
        <v>341.4705882352941</v>
      </c>
      <c r="F6" s="30">
        <f t="shared" si="6"/>
        <v>455.2941176470588</v>
      </c>
      <c r="G6" s="30">
        <f t="shared" si="6"/>
        <v>569.1176470588234</v>
      </c>
      <c r="H6" s="30">
        <f t="shared" si="6"/>
        <v>682.9411764705881</v>
      </c>
      <c r="I6" s="30">
        <f t="shared" si="6"/>
        <v>796.7647058823527</v>
      </c>
      <c r="J6" s="30">
        <f t="shared" si="6"/>
        <v>910.5882352941173</v>
      </c>
      <c r="K6" s="30">
        <f t="shared" si="6"/>
        <v>1024.411764705882</v>
      </c>
      <c r="L6" s="30">
        <f t="shared" si="6"/>
        <v>1112.3663101604275</v>
      </c>
      <c r="M6" s="30">
        <f t="shared" si="6"/>
        <v>1200.320855614973</v>
      </c>
      <c r="N6" s="30">
        <f t="shared" si="6"/>
        <v>1288.2754010695185</v>
      </c>
      <c r="O6" s="30">
        <f t="shared" si="6"/>
        <v>1376.229946524064</v>
      </c>
      <c r="P6" s="30">
        <f t="shared" si="6"/>
        <v>1464.1844919786095</v>
      </c>
      <c r="Q6" s="30">
        <f t="shared" si="6"/>
        <v>1552.139037433155</v>
      </c>
      <c r="R6" s="30">
        <f t="shared" si="6"/>
        <v>1640.0935828877004</v>
      </c>
      <c r="S6" s="30">
        <f t="shared" si="6"/>
        <v>1728.048128342246</v>
      </c>
      <c r="T6" s="30">
        <f t="shared" si="6"/>
        <v>1816.0026737967914</v>
      </c>
      <c r="U6" s="30">
        <f t="shared" si="6"/>
        <v>1903.957219251337</v>
      </c>
      <c r="V6" s="30">
        <f t="shared" si="6"/>
        <v>1991.9117647058824</v>
      </c>
      <c r="W6" s="30">
        <f t="shared" si="6"/>
        <v>2079.866310160428</v>
      </c>
      <c r="X6" s="30">
        <f t="shared" si="6"/>
        <v>2167.8208556149734</v>
      </c>
      <c r="Y6" s="30">
        <f t="shared" si="6"/>
        <v>2255.775401069519</v>
      </c>
      <c r="Z6" s="30">
        <f t="shared" si="6"/>
        <v>2343.7299465240644</v>
      </c>
      <c r="AA6" s="30">
        <f t="shared" si="6"/>
        <v>2431.68449197861</v>
      </c>
      <c r="AB6" s="30">
        <f t="shared" si="6"/>
        <v>2519.6390374331554</v>
      </c>
      <c r="AC6" s="30">
        <f t="shared" si="6"/>
        <v>2607.593582887701</v>
      </c>
      <c r="AD6" s="30">
        <f t="shared" si="6"/>
        <v>2695.5481283422464</v>
      </c>
      <c r="AE6" s="30">
        <f t="shared" si="6"/>
        <v>2783.502673796792</v>
      </c>
      <c r="AF6" s="30">
        <f t="shared" si="6"/>
        <v>2871.4572192513374</v>
      </c>
      <c r="AG6" s="30">
        <f t="shared" si="6"/>
        <v>2959.411764705883</v>
      </c>
      <c r="AH6" s="30">
        <f t="shared" si="6"/>
        <v>3047.3663101604284</v>
      </c>
      <c r="AI6" s="30">
        <f t="shared" si="6"/>
        <v>3281.911764705883</v>
      </c>
      <c r="AJ6" s="30">
        <f t="shared" si="6"/>
        <v>3516.4572192513374</v>
      </c>
      <c r="AK6" s="30">
        <f t="shared" si="6"/>
        <v>3751.002673796792</v>
      </c>
      <c r="AL6" s="30">
        <f t="shared" si="6"/>
        <v>3985.548128342247</v>
      </c>
      <c r="AM6" s="30">
        <f t="shared" si="6"/>
        <v>4220.093582887701</v>
      </c>
      <c r="AN6" s="30">
        <f t="shared" si="6"/>
        <v>4454.639037433156</v>
      </c>
      <c r="AO6" s="30">
        <f t="shared" si="6"/>
        <v>4689.184491978611</v>
      </c>
      <c r="AP6" s="30">
        <f t="shared" si="6"/>
        <v>4923.729946524065</v>
      </c>
      <c r="AQ6" s="30">
        <f t="shared" si="6"/>
        <v>5158.27540106952</v>
      </c>
      <c r="AR6" s="30">
        <f t="shared" si="6"/>
        <v>5392.820855614974</v>
      </c>
      <c r="AS6" s="30">
        <f t="shared" si="6"/>
        <v>5627.366310160429</v>
      </c>
    </row>
    <row r="7" ht="52.5" customHeight="1"/>
    <row r="8" spans="1:2" ht="52.5" customHeight="1">
      <c r="A8" s="30" t="s">
        <v>38</v>
      </c>
      <c r="B8" s="30">
        <f>86000/SUM(Sheet2!F11:G11)</f>
        <v>390.90909090909093</v>
      </c>
    </row>
    <row r="9" spans="1:2" ht="52.5" customHeight="1">
      <c r="A9" s="30" t="s">
        <v>39</v>
      </c>
      <c r="B9" s="30">
        <f>86000/SUM(Sheet2!F13:G13)</f>
        <v>505.88235294117646</v>
      </c>
    </row>
    <row r="10" spans="1:3" ht="52.5" customHeight="1">
      <c r="A10" s="30" t="s">
        <v>40</v>
      </c>
      <c r="B10" s="30">
        <f>C10/1.2</f>
        <v>375</v>
      </c>
      <c r="C10" s="30">
        <v>450</v>
      </c>
    </row>
    <row r="11" spans="1:3" ht="52.5" customHeight="1">
      <c r="A11" s="30" t="s">
        <v>41</v>
      </c>
      <c r="B11" s="30">
        <f>C11/1.2</f>
        <v>225</v>
      </c>
      <c r="C11" s="30">
        <v>270</v>
      </c>
    </row>
    <row r="12" ht="52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B6" sqref="B6"/>
    </sheetView>
  </sheetViews>
  <sheetFormatPr defaultColWidth="9.00390625" defaultRowHeight="12.75"/>
  <cols>
    <col min="1" max="1" width="28.75390625" style="32" customWidth="1"/>
    <col min="2" max="2" width="12.375" style="33" customWidth="1"/>
    <col min="3" max="3" width="10.375" style="33" customWidth="1"/>
    <col min="4" max="4" width="7.75390625" style="0" customWidth="1"/>
    <col min="5" max="5" width="10.75390625" style="33" customWidth="1"/>
    <col min="6" max="6" width="7.75390625" style="0" customWidth="1"/>
    <col min="7" max="16384" width="11.00390625" style="0" customWidth="1"/>
  </cols>
  <sheetData>
    <row r="1" spans="1:6" ht="12.75">
      <c r="A1" s="35" t="s">
        <v>63</v>
      </c>
      <c r="B1" s="41" t="s">
        <v>11</v>
      </c>
      <c r="C1" s="41" t="s">
        <v>10</v>
      </c>
      <c r="D1" s="42" t="s">
        <v>0</v>
      </c>
      <c r="E1" s="41" t="s">
        <v>55</v>
      </c>
      <c r="F1" s="42" t="s">
        <v>56</v>
      </c>
    </row>
    <row r="2" spans="1:6" ht="39.75" customHeight="1">
      <c r="A2" s="40"/>
      <c r="B2" s="46" t="s">
        <v>9</v>
      </c>
      <c r="C2" s="46" t="s">
        <v>1</v>
      </c>
      <c r="D2" s="36"/>
      <c r="E2" s="46" t="s">
        <v>2</v>
      </c>
      <c r="F2" s="36"/>
    </row>
    <row r="3" spans="1:6" ht="12.75">
      <c r="A3" s="35" t="s">
        <v>72</v>
      </c>
      <c r="B3" s="44"/>
      <c r="C3" s="44"/>
      <c r="D3" s="36"/>
      <c r="E3" s="44"/>
      <c r="F3" s="36"/>
    </row>
    <row r="4" spans="1:6" s="32" customFormat="1" ht="12.75">
      <c r="A4" s="40" t="s">
        <v>57</v>
      </c>
      <c r="B4" s="45">
        <v>0.5</v>
      </c>
      <c r="C4" s="45">
        <v>0.5</v>
      </c>
      <c r="D4" s="40"/>
      <c r="E4" s="45">
        <v>2</v>
      </c>
      <c r="F4" s="40"/>
    </row>
    <row r="5" spans="1:6" s="32" customFormat="1" ht="12.75">
      <c r="A5" s="40" t="s">
        <v>58</v>
      </c>
      <c r="B5" s="45">
        <v>2</v>
      </c>
      <c r="C5" s="45">
        <v>15</v>
      </c>
      <c r="D5" s="40"/>
      <c r="E5" s="45">
        <v>20</v>
      </c>
      <c r="F5" s="40"/>
    </row>
    <row r="6" spans="1:6" s="32" customFormat="1" ht="12.75">
      <c r="A6" s="40" t="s">
        <v>51</v>
      </c>
      <c r="B6" s="44">
        <f>B5*Sheet5!C3/(1+Sheet5!C2)</f>
        <v>1.6</v>
      </c>
      <c r="C6" s="44">
        <f>C5*Sheet5!C3/(1+Sheet5!C2)</f>
        <v>12</v>
      </c>
      <c r="D6" s="40"/>
      <c r="E6" s="44">
        <f>E5*Sheet5!C3/(1+Sheet5!C2)</f>
        <v>16</v>
      </c>
      <c r="F6" s="40"/>
    </row>
    <row r="7" spans="1:6" s="32" customFormat="1" ht="12.75">
      <c r="A7" s="40"/>
      <c r="B7" s="45"/>
      <c r="C7" s="45"/>
      <c r="D7" s="40"/>
      <c r="E7" s="45"/>
      <c r="F7" s="40"/>
    </row>
    <row r="8" spans="1:6" ht="12.75">
      <c r="A8" s="35" t="s">
        <v>7</v>
      </c>
      <c r="B8" s="43"/>
      <c r="C8" s="43"/>
      <c r="D8" s="36"/>
      <c r="E8" s="43"/>
      <c r="F8" s="36"/>
    </row>
    <row r="9" spans="1:6" ht="12.75">
      <c r="A9" s="40" t="s">
        <v>52</v>
      </c>
      <c r="B9" s="43">
        <f>(B4*Sheet2!B29+B5*Sheet2!B29)*Sheet5!C7</f>
        <v>4.774305555555555</v>
      </c>
      <c r="C9" s="43">
        <f>(C4*Sheet2!B29+C5*Sheet2!B29)*Sheet5!C7</f>
        <v>29.600694444444443</v>
      </c>
      <c r="D9" s="36"/>
      <c r="E9" s="43">
        <f>(E4*Sheet2!B29+E5*Sheet2!B29)*Sheet5!C7</f>
        <v>42.013888888888886</v>
      </c>
      <c r="F9" s="36"/>
    </row>
    <row r="10" spans="1:6" ht="12.75">
      <c r="A10" s="40" t="s">
        <v>53</v>
      </c>
      <c r="B10" s="43">
        <f>(B4*Sheet2!B30+B5*Sheet2!D30+B6*Sheet2!E30)*Sheet5!C7</f>
        <v>2.5946759259259258</v>
      </c>
      <c r="C10" s="43">
        <f>(C4*Sheet2!B30+C5*Sheet2!D30+C6*Sheet2!E30)*Sheet5!C7</f>
        <v>16.563657407407405</v>
      </c>
      <c r="D10" s="36"/>
      <c r="E10" s="43">
        <f>(E4*Sheet2!B30+E5*Sheet2!D30+E6*Sheet2!E30)*Sheet5!C7</f>
        <v>23.273148148148145</v>
      </c>
      <c r="F10" s="36"/>
    </row>
    <row r="11" spans="1:6" ht="12.75">
      <c r="A11" s="40" t="s">
        <v>6</v>
      </c>
      <c r="B11" s="44">
        <f>(B9+B10)/2</f>
        <v>3.6844907407407406</v>
      </c>
      <c r="C11" s="44">
        <f>(C9+C10)/3</f>
        <v>15.388117283950615</v>
      </c>
      <c r="D11" s="36"/>
      <c r="E11" s="44">
        <f>(E9+E10)/3</f>
        <v>21.762345679012345</v>
      </c>
      <c r="F11" s="36"/>
    </row>
    <row r="12" spans="1:6" ht="12.75">
      <c r="A12" s="40" t="s">
        <v>12</v>
      </c>
      <c r="B12" s="44">
        <f>B11*1000/(Sheet5!B7)</f>
        <v>111.65123456790123</v>
      </c>
      <c r="C12" s="44">
        <f>C11*1000/Sheet5!B7</f>
        <v>466.30658436213986</v>
      </c>
      <c r="D12" s="36"/>
      <c r="E12" s="44">
        <f>E11*1000/Sheet5!B7</f>
        <v>659.4650205761317</v>
      </c>
      <c r="F12" s="36"/>
    </row>
    <row r="13" spans="1:6" ht="12.75">
      <c r="A13" s="40" t="s">
        <v>8</v>
      </c>
      <c r="B13" s="44">
        <f>B9+B10-B11</f>
        <v>3.6844907407407406</v>
      </c>
      <c r="C13" s="44">
        <f>C9+C10-C11</f>
        <v>30.776234567901234</v>
      </c>
      <c r="D13" s="36"/>
      <c r="E13" s="44">
        <f>E9+E10-E11</f>
        <v>43.5246913580247</v>
      </c>
      <c r="F13" s="36"/>
    </row>
    <row r="14" spans="1:6" ht="12.75">
      <c r="A14" s="40" t="s">
        <v>54</v>
      </c>
      <c r="B14" s="43"/>
      <c r="C14" s="43">
        <f>(100*B4*Sheet2!B31+10*B5*Sheet2!D31+5*B6*Sheet2!E31)*Sheet5!C7</f>
        <v>1.986111111111111</v>
      </c>
      <c r="D14" s="43">
        <f>(100*C4*Sheet2!B31+10*C5*Sheet2!D31+5*C6*Sheet2!E31)*Sheet5!C7</f>
        <v>6.62037037037037</v>
      </c>
      <c r="E14" s="43"/>
      <c r="F14" s="43">
        <f>(100*E4*Sheet2!B31+10*E5*Sheet2!D31+5*E6*Sheet2!E31)*Sheet5!C7</f>
        <v>12.222222222222221</v>
      </c>
    </row>
    <row r="15" spans="1:6" ht="12.75">
      <c r="A15" s="40"/>
      <c r="B15" s="43"/>
      <c r="C15" s="43"/>
      <c r="D15" s="36"/>
      <c r="E15" s="43"/>
      <c r="F15" s="36"/>
    </row>
    <row r="16" spans="1:6" ht="12.75">
      <c r="A16" s="35" t="s">
        <v>47</v>
      </c>
      <c r="B16" s="43"/>
      <c r="C16" s="43"/>
      <c r="D16" s="36"/>
      <c r="E16" s="43"/>
      <c r="F16" s="36"/>
    </row>
    <row r="17" spans="1:6" ht="12.75">
      <c r="A17" s="40" t="s">
        <v>48</v>
      </c>
      <c r="B17" s="43"/>
      <c r="C17" s="43"/>
      <c r="D17" s="36"/>
      <c r="E17" s="43"/>
      <c r="F17" s="36"/>
    </row>
    <row r="18" spans="1:6" ht="12.75">
      <c r="A18" s="40" t="s">
        <v>3</v>
      </c>
      <c r="B18" s="43">
        <f>(B4*Sheet2!B32+B5*Sheet2!D32+(2*B4+2*B5)*Sheet2!E32)*1000000/(2*1000000)</f>
        <v>2.125</v>
      </c>
      <c r="C18" s="43">
        <f>(C4*Sheet2!B32+C5*Sheet2!D32+2*(C4+C5)*Sheet2!E32)*1000000/(3*1000000)</f>
        <v>8.783333333333333</v>
      </c>
      <c r="D18" s="36"/>
      <c r="E18" s="43">
        <f>(E4*Sheet2!B32+E5*Sheet2!D32+2*(E4+E5)*Sheet2!E32)*1000000/(3*1000000)</f>
        <v>12.466666666666669</v>
      </c>
      <c r="F18" s="36"/>
    </row>
    <row r="19" spans="1:6" ht="12.75">
      <c r="A19" s="40" t="s">
        <v>59</v>
      </c>
      <c r="B19" s="43">
        <f>B22/2</f>
        <v>0.3925</v>
      </c>
      <c r="C19" s="43">
        <f>C22/3</f>
        <v>1.6916666666666667</v>
      </c>
      <c r="D19" s="36"/>
      <c r="E19" s="43">
        <f>E22/3</f>
        <v>2.3666666666666667</v>
      </c>
      <c r="F19" s="36"/>
    </row>
    <row r="20" spans="1:6" ht="12.75">
      <c r="A20" s="40" t="s">
        <v>49</v>
      </c>
      <c r="B20" s="43"/>
      <c r="C20" s="43"/>
      <c r="D20" s="36"/>
      <c r="E20" s="43"/>
      <c r="F20" s="36"/>
    </row>
    <row r="21" spans="1:6" ht="12.75">
      <c r="A21" s="40" t="s">
        <v>62</v>
      </c>
      <c r="B21" s="43">
        <f>B22-B19</f>
        <v>0.3925</v>
      </c>
      <c r="C21" s="43">
        <f>C22-C19</f>
        <v>3.3833333333333337</v>
      </c>
      <c r="D21" s="36"/>
      <c r="E21" s="43">
        <f>E22-E19</f>
        <v>4.7333333333333325</v>
      </c>
      <c r="F21" s="36"/>
    </row>
    <row r="22" spans="1:6" ht="12.75">
      <c r="A22" s="40" t="s">
        <v>5</v>
      </c>
      <c r="B22" s="44">
        <f>(B4*Sheet2!B33+B5*Sheet2!D33+B6*Sheet2!E33)*1000000/1000000</f>
        <v>0.785</v>
      </c>
      <c r="C22" s="44">
        <f>(C4*Sheet2!B33+C5*Sheet2!D33+C6*Sheet2!E33)*1000000/1000000</f>
        <v>5.075</v>
      </c>
      <c r="D22" s="36"/>
      <c r="E22" s="44">
        <f>(E4*Sheet2!B33+E5*Sheet2!D33+E6*Sheet2!E33)*1000000/1000000</f>
        <v>7.1</v>
      </c>
      <c r="F22" s="36"/>
    </row>
    <row r="23" spans="1:6" ht="12.75">
      <c r="A23" s="47" t="s">
        <v>4</v>
      </c>
      <c r="B23" s="48">
        <f>B22+B18</f>
        <v>2.91</v>
      </c>
      <c r="C23" s="48">
        <f>C22+C18</f>
        <v>13.858333333333334</v>
      </c>
      <c r="D23" s="36"/>
      <c r="E23" s="48">
        <f>E22+E18</f>
        <v>19.56666666666667</v>
      </c>
      <c r="F23" s="3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C7" sqref="C7"/>
    </sheetView>
  </sheetViews>
  <sheetFormatPr defaultColWidth="9.00390625" defaultRowHeight="12.75"/>
  <sheetData>
    <row r="1" spans="1:3" ht="12.75">
      <c r="A1" t="s">
        <v>67</v>
      </c>
      <c r="B1" t="s">
        <v>69</v>
      </c>
      <c r="C1" t="s">
        <v>70</v>
      </c>
    </row>
    <row r="2" spans="1:3" ht="12.75">
      <c r="A2" t="s">
        <v>71</v>
      </c>
      <c r="B2">
        <v>1.38</v>
      </c>
      <c r="C2">
        <v>1.5</v>
      </c>
    </row>
    <row r="3" spans="1:3" ht="12.75">
      <c r="A3" t="s">
        <v>68</v>
      </c>
      <c r="B3">
        <v>1.68</v>
      </c>
      <c r="C3">
        <v>2</v>
      </c>
    </row>
    <row r="5" spans="1:3" ht="12.75">
      <c r="A5" t="s">
        <v>91</v>
      </c>
      <c r="B5" t="s">
        <v>90</v>
      </c>
      <c r="C5" t="s">
        <v>92</v>
      </c>
    </row>
    <row r="6" spans="1:3" ht="12.75">
      <c r="A6">
        <f>A8/B8</f>
        <v>25</v>
      </c>
      <c r="B6">
        <v>1</v>
      </c>
      <c r="C6">
        <f>B6*1000/(30*24*60*60)</f>
        <v>0.00038580246913580245</v>
      </c>
    </row>
    <row r="7" spans="1:3" ht="12.75">
      <c r="A7">
        <v>800</v>
      </c>
      <c r="B7">
        <v>33</v>
      </c>
      <c r="C7">
        <f>B7*1000/(30*24*60*60)</f>
        <v>0.01273148148148148</v>
      </c>
    </row>
    <row r="8" spans="1:3" ht="12.75">
      <c r="A8">
        <v>1000</v>
      </c>
      <c r="B8">
        <v>40</v>
      </c>
      <c r="C8">
        <f>B8*1000/(30*24*60*60)</f>
        <v>0.015432098765432098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5">
      <selection activeCell="B36" sqref="B36"/>
    </sheetView>
  </sheetViews>
  <sheetFormatPr defaultColWidth="9.00390625" defaultRowHeight="12.75"/>
  <cols>
    <col min="2" max="2" width="10.375" style="0" customWidth="1"/>
    <col min="3" max="3" width="12.625" style="0" customWidth="1"/>
    <col min="4" max="4" width="22.125" style="0" customWidth="1"/>
    <col min="5" max="5" width="16.00390625" style="0" customWidth="1"/>
    <col min="6" max="6" width="14.50390625" style="0" customWidth="1"/>
    <col min="7" max="7" width="24.25390625" style="0" customWidth="1"/>
    <col min="8" max="8" width="12.125" style="0" customWidth="1"/>
  </cols>
  <sheetData>
    <row r="1" spans="1:4" ht="12.75">
      <c r="A1" s="49" t="s">
        <v>73</v>
      </c>
      <c r="B1" s="49" t="s">
        <v>88</v>
      </c>
      <c r="C1" s="49" t="s">
        <v>89</v>
      </c>
      <c r="D1" s="41" t="s">
        <v>93</v>
      </c>
    </row>
    <row r="2" spans="1:4" ht="12.75">
      <c r="A2" t="s">
        <v>74</v>
      </c>
      <c r="B2">
        <v>400</v>
      </c>
      <c r="C2">
        <v>1000</v>
      </c>
      <c r="D2">
        <v>1.5</v>
      </c>
    </row>
    <row r="3" spans="1:4" ht="12.75">
      <c r="A3" t="s">
        <v>75</v>
      </c>
      <c r="B3">
        <v>200</v>
      </c>
      <c r="C3">
        <v>1400</v>
      </c>
      <c r="D3">
        <v>1</v>
      </c>
    </row>
    <row r="4" spans="1:4" ht="12.75">
      <c r="A4" t="s">
        <v>76</v>
      </c>
      <c r="B4">
        <v>120</v>
      </c>
      <c r="C4">
        <v>1000</v>
      </c>
      <c r="D4">
        <v>0.6</v>
      </c>
    </row>
    <row r="5" spans="1:4" ht="12.75">
      <c r="A5" t="s">
        <v>77</v>
      </c>
      <c r="B5">
        <v>150</v>
      </c>
      <c r="C5">
        <v>1000</v>
      </c>
      <c r="D5">
        <v>0.1</v>
      </c>
    </row>
    <row r="6" spans="1:4" ht="12.75">
      <c r="A6" t="s">
        <v>78</v>
      </c>
      <c r="B6">
        <v>15</v>
      </c>
      <c r="C6">
        <v>1000</v>
      </c>
      <c r="D6">
        <v>0.037</v>
      </c>
    </row>
    <row r="7" spans="1:4" ht="12.75">
      <c r="A7" t="s">
        <v>79</v>
      </c>
      <c r="B7">
        <v>20</v>
      </c>
      <c r="C7">
        <v>1000</v>
      </c>
      <c r="D7">
        <v>0.025</v>
      </c>
    </row>
    <row r="8" spans="1:4" ht="12.75">
      <c r="A8" t="s">
        <v>80</v>
      </c>
      <c r="B8">
        <v>20</v>
      </c>
      <c r="C8">
        <v>1000</v>
      </c>
      <c r="D8">
        <v>0.024</v>
      </c>
    </row>
    <row r="9" spans="1:4" ht="12.75">
      <c r="A9" t="s">
        <v>81</v>
      </c>
      <c r="B9">
        <v>10</v>
      </c>
      <c r="C9">
        <v>1000</v>
      </c>
      <c r="D9">
        <v>0.024</v>
      </c>
    </row>
    <row r="10" spans="1:4" ht="12.75">
      <c r="A10" t="s">
        <v>82</v>
      </c>
      <c r="B10">
        <v>40</v>
      </c>
      <c r="C10">
        <v>1000</v>
      </c>
      <c r="D10">
        <v>0.027</v>
      </c>
    </row>
    <row r="11" spans="1:3" ht="12.75">
      <c r="A11" t="s">
        <v>83</v>
      </c>
      <c r="B11">
        <v>120</v>
      </c>
      <c r="C11">
        <v>1000</v>
      </c>
    </row>
    <row r="12" spans="1:3" ht="12.75">
      <c r="A12" t="s">
        <v>84</v>
      </c>
      <c r="B12">
        <v>270</v>
      </c>
      <c r="C12">
        <v>400</v>
      </c>
    </row>
    <row r="13" spans="1:3" ht="12.75">
      <c r="A13" t="s">
        <v>85</v>
      </c>
      <c r="B13">
        <v>20</v>
      </c>
      <c r="C13">
        <v>1000</v>
      </c>
    </row>
    <row r="14" spans="1:3" ht="12.75">
      <c r="A14" t="s">
        <v>86</v>
      </c>
      <c r="B14">
        <v>100</v>
      </c>
      <c r="C14">
        <v>1000</v>
      </c>
    </row>
    <row r="15" spans="1:3" ht="12.75">
      <c r="A15" t="s">
        <v>87</v>
      </c>
      <c r="B15">
        <v>20</v>
      </c>
      <c r="C15">
        <v>1000</v>
      </c>
    </row>
    <row r="17" spans="1:8" ht="12.75">
      <c r="A17" s="49" t="s">
        <v>73</v>
      </c>
      <c r="B17" s="49" t="s">
        <v>88</v>
      </c>
      <c r="C17" s="49" t="s">
        <v>89</v>
      </c>
      <c r="D17" s="41" t="s">
        <v>97</v>
      </c>
      <c r="E17" s="41" t="s">
        <v>94</v>
      </c>
      <c r="F17" s="50" t="s">
        <v>98</v>
      </c>
      <c r="G17" s="49" t="s">
        <v>99</v>
      </c>
      <c r="H17" s="50" t="s">
        <v>100</v>
      </c>
    </row>
    <row r="18" spans="1:6" ht="12.75">
      <c r="A18" t="s">
        <v>74</v>
      </c>
      <c r="B18">
        <v>400</v>
      </c>
      <c r="C18">
        <v>1000</v>
      </c>
      <c r="D18">
        <f>((Sheet4!B4+Sheet4!B5)+Sheet4!B6)/2</f>
        <v>2.05</v>
      </c>
      <c r="E18">
        <f>((Sheet4!B4+Sheet4!B5)*Sheet2!B41+Sheet4!B6*Sheet2!C38)*1000000*C18/(2*(30*24*60*60)*B18*1000)</f>
        <v>0.27912808641975306</v>
      </c>
      <c r="F18">
        <f>(((Sheet4!B4+Sheet4!B5)*Sheet2!B42+Sheet4!B6*Sheet2!C42)/2)+(((Sheet4!B4+Sheet4!B5)*Sheet2!B40+Sheet4!B6*Sheet2!C40)/2)</f>
        <v>2.91</v>
      </c>
    </row>
    <row r="19" spans="1:6" ht="12.75">
      <c r="A19" t="s">
        <v>75</v>
      </c>
      <c r="B19">
        <v>80</v>
      </c>
      <c r="C19">
        <v>1400</v>
      </c>
      <c r="D19">
        <f>D18*B19*C19/(B18*1000)</f>
        <v>0.574</v>
      </c>
      <c r="E19">
        <f>((Sheet4!B4+Sheet4!B5)*Sheet2!B41+Sheet4!B6*Sheet2!C38)*1000000*C18/(2*(30*24*60*60)*B18*1000)</f>
        <v>0.27912808641975306</v>
      </c>
      <c r="F19">
        <f>(((Sheet4!B4+Sheet4!B5)*Sheet2!B42+Sheet4!B6*Sheet2!C42)/2)*B19*C19/(B18*1000)</f>
        <v>0.7049</v>
      </c>
    </row>
    <row r="20" spans="1:6" ht="12.75">
      <c r="A20" t="s">
        <v>76</v>
      </c>
      <c r="B20">
        <v>120</v>
      </c>
      <c r="C20">
        <v>1000</v>
      </c>
      <c r="D20">
        <f>D18*B20*C20/(B18*1000)</f>
        <v>0.6149999999999999</v>
      </c>
      <c r="E20">
        <f>((Sheet4!B4+Sheet4!B5)*Sheet2!B41+Sheet4!B6*Sheet2!C38)*1000000*C18/(2*(30*24*60*60)*B18*1000)</f>
        <v>0.27912808641975306</v>
      </c>
      <c r="F20">
        <f>(((Sheet4!B4+Sheet4!B5)*Sheet2!B42+Sheet4!B6*Sheet2!C42)/2)*B20*C20/(B18*1000)</f>
        <v>0.75525</v>
      </c>
    </row>
    <row r="21" spans="1:6" ht="12.75">
      <c r="A21" t="s">
        <v>77</v>
      </c>
      <c r="B21">
        <v>150</v>
      </c>
      <c r="C21">
        <v>1000</v>
      </c>
      <c r="D21">
        <f>D18*B21*C21/(B18*1000)</f>
        <v>0.76875</v>
      </c>
      <c r="E21">
        <f>((Sheet4!B4+Sheet4!B5)*Sheet2!B41+Sheet4!B6*Sheet2!C38)*1000000*C18/(2*(30*24*60*60)*B18*1000)</f>
        <v>0.27912808641975306</v>
      </c>
      <c r="F21">
        <f>(((Sheet4!B4+Sheet4!B5)*Sheet2!B42+Sheet4!B6*Sheet2!C42)/2)*B21*C21/(B18*1000)</f>
        <v>0.9440625</v>
      </c>
    </row>
    <row r="22" spans="1:6" ht="12.75">
      <c r="A22" t="s">
        <v>78</v>
      </c>
      <c r="B22">
        <v>15</v>
      </c>
      <c r="C22">
        <v>1000</v>
      </c>
      <c r="D22">
        <f>D18*B22*C22/(B18*1000)</f>
        <v>0.07687499999999999</v>
      </c>
      <c r="E22">
        <f>((Sheet4!B4+Sheet4!B5)*Sheet2!B41+Sheet4!B6*Sheet2!C38)*1000000*C18/(2*(30*24*60*60)*B18*1000)</f>
        <v>0.27912808641975306</v>
      </c>
      <c r="F22">
        <f>(((Sheet4!B4+Sheet4!B5)*Sheet2!B42+Sheet4!B6*Sheet2!C42)/2)*B22*C22/(B18*1000)</f>
        <v>0.09440625</v>
      </c>
    </row>
    <row r="23" spans="1:6" ht="12.75">
      <c r="A23" t="s">
        <v>79</v>
      </c>
      <c r="B23">
        <v>20</v>
      </c>
      <c r="C23">
        <v>1000</v>
      </c>
      <c r="D23">
        <f>D18*B23*C23/(B18*1000)</f>
        <v>0.1025</v>
      </c>
      <c r="E23">
        <f>((Sheet4!B4+Sheet4!B5)*Sheet2!B41+Sheet4!B6*Sheet2!C38)*1000000*C18/(2*(30*24*60*60)*B18*1000)</f>
        <v>0.27912808641975306</v>
      </c>
      <c r="F23">
        <f>(((Sheet4!B4+Sheet4!B5)*Sheet2!B42+Sheet4!B6*Sheet2!C42)/2)*B23*C23/(B18*1000)</f>
        <v>0.125875</v>
      </c>
    </row>
    <row r="24" spans="1:6" ht="12.75">
      <c r="A24" t="s">
        <v>80</v>
      </c>
      <c r="B24">
        <v>20</v>
      </c>
      <c r="C24">
        <v>1000</v>
      </c>
      <c r="D24">
        <f>D18*B24*C24/(B18*1000)</f>
        <v>0.1025</v>
      </c>
      <c r="E24">
        <f>((Sheet4!B4+Sheet4!B5)*Sheet2!B41+Sheet4!B6*Sheet2!C38)*1000000*C18/(2*(30*24*60*60)*B18*1000)</f>
        <v>0.27912808641975306</v>
      </c>
      <c r="F24">
        <f>(((Sheet4!B4+Sheet4!B5)*Sheet2!B42+Sheet4!B6*Sheet2!C42)/2)*B24*C24/(B18*1000)</f>
        <v>0.125875</v>
      </c>
    </row>
    <row r="25" spans="1:6" ht="12.75">
      <c r="A25" t="s">
        <v>81</v>
      </c>
      <c r="B25">
        <v>10</v>
      </c>
      <c r="C25">
        <v>1000</v>
      </c>
      <c r="D25">
        <f>D18*B25*C25/(B18*1000)</f>
        <v>0.05125</v>
      </c>
      <c r="E25">
        <f>((Sheet4!B4+Sheet4!B5)*Sheet2!B41+Sheet4!B6*Sheet2!C38)*1000000*C18/(2*(30*24*60*60)*B18*1000)</f>
        <v>0.27912808641975306</v>
      </c>
      <c r="F25">
        <f>(((Sheet4!B4+Sheet4!B5)*Sheet2!B42+Sheet4!B6*Sheet2!C42)/2)*B25*C25/(B18*1000)</f>
        <v>0.0629375</v>
      </c>
    </row>
    <row r="26" spans="1:6" ht="12.75">
      <c r="A26" t="s">
        <v>82</v>
      </c>
      <c r="B26">
        <v>40</v>
      </c>
      <c r="C26">
        <v>1000</v>
      </c>
      <c r="D26">
        <f>D18*B26*C26/(B18*1000)</f>
        <v>0.205</v>
      </c>
      <c r="E26">
        <f>((Sheet4!B4+Sheet4!B5)*Sheet2!B41+Sheet4!B6*Sheet2!C38)*1000000*C18/(2*(30*24*60*60)*B18*1000)</f>
        <v>0.27912808641975306</v>
      </c>
      <c r="F26">
        <f>(((Sheet4!B4+Sheet4!B5)*Sheet2!B42+Sheet4!B6*Sheet2!C42)/2)*B26*C26/(B18*1000)</f>
        <v>0.25175</v>
      </c>
    </row>
    <row r="27" spans="1:6" ht="12.75">
      <c r="A27" t="s">
        <v>83</v>
      </c>
      <c r="B27">
        <v>120</v>
      </c>
      <c r="C27">
        <v>1000</v>
      </c>
      <c r="D27">
        <f>D18*B27*C27/(B18*1000)</f>
        <v>0.6149999999999999</v>
      </c>
      <c r="E27">
        <f>((Sheet4!B4+Sheet4!B5)*Sheet2!B41+Sheet4!B6*Sheet2!C38)*1000000*C18/(2*(30*24*60*60)*B18*1000)</f>
        <v>0.27912808641975306</v>
      </c>
      <c r="F27">
        <f>(((Sheet4!B4+Sheet4!B5)*Sheet2!B42+Sheet4!B6*Sheet2!C42)/2)*B27*C27/(B18*1000)</f>
        <v>0.75525</v>
      </c>
    </row>
    <row r="28" spans="1:6" ht="12.75">
      <c r="A28" t="s">
        <v>84</v>
      </c>
      <c r="B28">
        <v>270</v>
      </c>
      <c r="C28">
        <v>400</v>
      </c>
      <c r="D28">
        <f>D18*B28*C28/(B18*1000)</f>
        <v>0.5535</v>
      </c>
      <c r="E28">
        <f>((Sheet4!B4+Sheet4!B5)*Sheet2!B41+Sheet4!B6*Sheet2!C38)*1000000*C18/(2*(30*24*60*60)*B18*1000)</f>
        <v>0.27912808641975306</v>
      </c>
      <c r="F28">
        <f>(((Sheet4!B4+Sheet4!B5)*Sheet2!B42+Sheet4!B6*Sheet2!C42)/2)*B28*C28/(B18*1000)</f>
        <v>0.679725</v>
      </c>
    </row>
    <row r="29" spans="1:6" ht="12.75">
      <c r="A29" t="s">
        <v>85</v>
      </c>
      <c r="B29">
        <v>20</v>
      </c>
      <c r="C29">
        <v>1000</v>
      </c>
      <c r="D29">
        <f>D18*B29*C29/(B18*1000)</f>
        <v>0.1025</v>
      </c>
      <c r="E29">
        <f>((Sheet4!B4+Sheet4!B5)*Sheet2!B41+Sheet4!B6*Sheet2!C38)*1000000*C18/(2*(30*24*60*60)*B18*1000)</f>
        <v>0.27912808641975306</v>
      </c>
      <c r="F29">
        <f>(((Sheet4!B4+Sheet4!B5)*Sheet2!B42+Sheet4!B6*Sheet2!C42)/2)*B29*C29/(B18*1000)</f>
        <v>0.125875</v>
      </c>
    </row>
    <row r="30" spans="1:6" ht="12.75">
      <c r="A30" t="s">
        <v>86</v>
      </c>
      <c r="B30">
        <v>100</v>
      </c>
      <c r="C30">
        <v>1000</v>
      </c>
      <c r="D30">
        <f>D18*B30*C30/(B18*1000)</f>
        <v>0.5125</v>
      </c>
      <c r="E30">
        <f>((Sheet4!B4+Sheet4!B5)*Sheet2!B41+Sheet4!B6*Sheet2!C38)*1000000*C18/(2*(30*24*60*60)*B18*1000)</f>
        <v>0.27912808641975306</v>
      </c>
      <c r="F30">
        <f>(((Sheet4!B4+Sheet4!B5)*Sheet2!B42+Sheet4!B6*Sheet2!C42)/2)*B30*C30/(B18*1000)</f>
        <v>0.629375</v>
      </c>
    </row>
    <row r="31" spans="1:6" ht="12.75">
      <c r="A31" t="s">
        <v>87</v>
      </c>
      <c r="B31">
        <v>20</v>
      </c>
      <c r="C31">
        <v>1000</v>
      </c>
      <c r="D31">
        <f>D18*B31*C31/(B18*1000)</f>
        <v>0.1025</v>
      </c>
      <c r="E31">
        <f>((Sheet4!B4+Sheet4!B5)*Sheet2!B41+Sheet4!B6*Sheet2!C38)*1000000*C18/(2*(30*24*60*60)*B18*1000)</f>
        <v>0.27912808641975306</v>
      </c>
      <c r="F31">
        <f>(((Sheet4!B4+Sheet4!B5)*Sheet2!B42+Sheet4!B6*Sheet2!C42)/2)*B31*C31/(B18*1000)</f>
        <v>0.125875</v>
      </c>
    </row>
    <row r="32" spans="1:6" ht="12.75">
      <c r="A32" t="s">
        <v>103</v>
      </c>
      <c r="D32">
        <f>SUM(D18:D31)</f>
        <v>6.431875</v>
      </c>
      <c r="F32">
        <f>SUM(F18:F31)</f>
        <v>8.29115625</v>
      </c>
    </row>
    <row r="34" spans="1:8" ht="12.75">
      <c r="A34" s="49" t="s">
        <v>73</v>
      </c>
      <c r="B34" s="49" t="s">
        <v>88</v>
      </c>
      <c r="C34" s="49" t="s">
        <v>89</v>
      </c>
      <c r="D34" s="41" t="s">
        <v>101</v>
      </c>
      <c r="E34" s="41" t="s">
        <v>94</v>
      </c>
      <c r="F34" s="50" t="s">
        <v>98</v>
      </c>
      <c r="G34" s="49" t="s">
        <v>102</v>
      </c>
      <c r="H34" s="49" t="s">
        <v>100</v>
      </c>
    </row>
    <row r="35" spans="1:6" ht="12.75">
      <c r="A35" t="s">
        <v>74</v>
      </c>
      <c r="B35">
        <v>400</v>
      </c>
      <c r="C35">
        <v>1000</v>
      </c>
      <c r="D35">
        <f>((Sheet4!C4+Sheet4!C5)+Sheet4!C6)/3</f>
        <v>9.166666666666666</v>
      </c>
      <c r="E35">
        <f>((Sheet4!C4+Sheet4!C5)*Sheet2!B41+Sheet4!C6*Sheet2!C38)*1000000*C35/(3*(30*24*60*60)*B35*1000)</f>
        <v>1.1657664609053497</v>
      </c>
      <c r="F35">
        <f>(((Sheet4!C4+Sheet4!C5)*Sheet2!B42+Sheet4!C6*Sheet2!C42)/3)+(2*((Sheet4!C4+Sheet4!C5)*Sheet2!B40+Sheet4!C6*Sheet2!C40)/3)</f>
        <v>13.858333333333333</v>
      </c>
    </row>
    <row r="36" spans="1:6" ht="12.75">
      <c r="A36" t="s">
        <v>75</v>
      </c>
      <c r="B36">
        <v>80</v>
      </c>
      <c r="C36">
        <v>1400</v>
      </c>
      <c r="D36">
        <f>2*D35*B36*C36/(B35*1000)</f>
        <v>5.133333333333333</v>
      </c>
      <c r="E36">
        <f>((Sheet4!C4+Sheet4!C5)*Sheet2!B41+Sheet4!C6*Sheet2!C38)*1000000*C35/(3*(30*24*60*60)*B35*1000)</f>
        <v>1.1657664609053497</v>
      </c>
      <c r="F36">
        <f>(((Sheet4!C4+Sheet4!C5)*Sheet2!B42+Sheet4!C6*Sheet2!C42))*2*B36*C36/(3*B35*1000)</f>
        <v>5.866</v>
      </c>
    </row>
    <row r="37" spans="1:6" ht="12.75">
      <c r="A37" t="s">
        <v>76</v>
      </c>
      <c r="B37">
        <v>120</v>
      </c>
      <c r="C37">
        <v>1000</v>
      </c>
      <c r="D37">
        <f>2*D35*B37*C37/(B35*1000)</f>
        <v>5.5</v>
      </c>
      <c r="E37">
        <f>((Sheet4!C4+Sheet4!C5)*Sheet2!B41+Sheet4!C6*Sheet2!C38)*1000000*C35/(3*(30*24*60*60)*B35*1000)</f>
        <v>1.1657664609053497</v>
      </c>
      <c r="F37">
        <f>(((Sheet4!C4+Sheet4!C5)*Sheet2!B42+Sheet4!C6*Sheet2!C42))*2*B37*C37/(3*B35*1000)</f>
        <v>6.285</v>
      </c>
    </row>
    <row r="38" spans="1:6" ht="12.75">
      <c r="A38" t="s">
        <v>77</v>
      </c>
      <c r="B38">
        <v>150</v>
      </c>
      <c r="C38">
        <v>1000</v>
      </c>
      <c r="D38">
        <f>2*D35*B38*C38/(B35*1000)</f>
        <v>6.875</v>
      </c>
      <c r="E38">
        <f>((Sheet4!C4+Sheet4!C5)*Sheet2!B41+Sheet4!C6*Sheet2!C38)*1000000*C35/(3*(30*24*60*60)*B35*1000)</f>
        <v>1.1657664609053497</v>
      </c>
      <c r="F38">
        <f>(((Sheet4!C4+Sheet4!C5)*Sheet2!B42+Sheet4!C6*Sheet2!C42))*2*B38*C38/(3*B35*1000)</f>
        <v>7.85625</v>
      </c>
    </row>
    <row r="39" spans="1:6" ht="12.75">
      <c r="A39" t="s">
        <v>78</v>
      </c>
      <c r="B39">
        <v>15</v>
      </c>
      <c r="C39">
        <v>1000</v>
      </c>
      <c r="D39">
        <f>2*D35*B39*C39/(B35*1000)</f>
        <v>0.6875</v>
      </c>
      <c r="E39">
        <f>((Sheet4!C4+Sheet4!C5)*Sheet2!B41+Sheet4!C6*Sheet2!C38)*1000000*C35/(3*(30*24*60*60)*B35*1000)</f>
        <v>1.1657664609053497</v>
      </c>
      <c r="F39">
        <f>(((Sheet4!C4+Sheet4!C5)*Sheet2!B42+Sheet4!C6*Sheet2!C42))*2*B39*C39/(3*B35*1000)</f>
        <v>0.785625</v>
      </c>
    </row>
    <row r="40" spans="1:6" ht="12.75">
      <c r="A40" t="s">
        <v>79</v>
      </c>
      <c r="B40">
        <v>20</v>
      </c>
      <c r="C40">
        <v>1000</v>
      </c>
      <c r="D40">
        <f>2*D35*B40*C40/(B35*1000)</f>
        <v>0.9166666666666665</v>
      </c>
      <c r="E40">
        <f>((Sheet4!C4+Sheet4!C5)*Sheet2!B41+Sheet4!C6*Sheet2!C38)*1000000*C35/(3*(30*24*60*60)*B35*1000)</f>
        <v>1.1657664609053497</v>
      </c>
      <c r="F40">
        <f>(((Sheet4!C4+Sheet4!C5)*Sheet2!B42+Sheet4!C6*Sheet2!C42))*2*B40*C40/(3*B35*1000)</f>
        <v>1.0475</v>
      </c>
    </row>
    <row r="41" spans="1:6" ht="12.75">
      <c r="A41" t="s">
        <v>80</v>
      </c>
      <c r="B41">
        <v>20</v>
      </c>
      <c r="C41">
        <v>1000</v>
      </c>
      <c r="D41">
        <f>2*D35*B41*C41/(B35*1000)</f>
        <v>0.9166666666666665</v>
      </c>
      <c r="E41">
        <f>((Sheet4!C4+Sheet4!C5)*Sheet2!B41+Sheet4!C6*Sheet2!C38)*1000000*C35/(3*(30*24*60*60)*B35*1000)</f>
        <v>1.1657664609053497</v>
      </c>
      <c r="F41">
        <f>(((Sheet4!C4+Sheet4!C5)*Sheet2!B42+Sheet4!C6*Sheet2!C42))*2*B41*C41/(3*B35*1000)</f>
        <v>1.0475</v>
      </c>
    </row>
    <row r="42" spans="1:6" ht="12.75">
      <c r="A42" t="s">
        <v>81</v>
      </c>
      <c r="B42">
        <v>10</v>
      </c>
      <c r="C42">
        <v>1000</v>
      </c>
      <c r="D42">
        <f>2*D35*B42*C42/(B35*1000)</f>
        <v>0.45833333333333326</v>
      </c>
      <c r="E42">
        <f>((Sheet4!C4+Sheet4!C5)*Sheet2!B41+Sheet4!C6*Sheet2!C38)*1000000*C35/(3*(30*24*60*60)*B35*1000)</f>
        <v>1.1657664609053497</v>
      </c>
      <c r="F42">
        <f>(((Sheet4!C4+Sheet4!C5)*Sheet2!B42+Sheet4!C6*Sheet2!C42))*2*B42*C42/(3*B35*1000)</f>
        <v>0.52375</v>
      </c>
    </row>
    <row r="43" spans="1:6" ht="12.75">
      <c r="A43" t="s">
        <v>82</v>
      </c>
      <c r="B43">
        <v>40</v>
      </c>
      <c r="C43">
        <v>1000</v>
      </c>
      <c r="D43">
        <f>2*D35*B43*C43/(B35*1000)</f>
        <v>1.833333333333333</v>
      </c>
      <c r="E43">
        <f>((Sheet4!C4+Sheet4!C5)*Sheet2!B41+Sheet4!C6*Sheet2!C38)*1000000*C35/(3*(30*24*60*60)*B35*1000)</f>
        <v>1.1657664609053497</v>
      </c>
      <c r="F43">
        <f>(((Sheet4!C4+Sheet4!C5)*Sheet2!B42+Sheet4!C6*Sheet2!C42))*2*B43*C43/(3*B35*1000)</f>
        <v>2.095</v>
      </c>
    </row>
    <row r="44" spans="1:6" ht="12.75">
      <c r="A44" t="s">
        <v>83</v>
      </c>
      <c r="B44">
        <v>120</v>
      </c>
      <c r="C44">
        <v>1000</v>
      </c>
      <c r="D44">
        <f>2*D35*B44*C44/(B35*1000)</f>
        <v>5.5</v>
      </c>
      <c r="E44">
        <f>((Sheet4!C4+Sheet4!C5)*Sheet2!B41+Sheet4!C6*Sheet2!C38)*1000000*C35/(3*(30*24*60*60)*B35*1000)</f>
        <v>1.1657664609053497</v>
      </c>
      <c r="F44">
        <f>(((Sheet4!C4+Sheet4!C5)*Sheet2!B42+Sheet4!C6*Sheet2!C42))*2*B44*C44/(3*B35*1000)</f>
        <v>6.285</v>
      </c>
    </row>
    <row r="45" spans="1:6" ht="12.75">
      <c r="A45" t="s">
        <v>84</v>
      </c>
      <c r="B45">
        <v>270</v>
      </c>
      <c r="C45">
        <v>400</v>
      </c>
      <c r="D45">
        <f>2*D35*B45*C45/(B35*1000)</f>
        <v>4.95</v>
      </c>
      <c r="E45">
        <f>((Sheet4!C4+Sheet4!C5)*Sheet2!B41+Sheet4!C6*Sheet2!C38)*1000000*C35/(3*(30*24*60*60)*B35*1000)</f>
        <v>1.1657664609053497</v>
      </c>
      <c r="F45">
        <f>(((Sheet4!C4+Sheet4!C5)*Sheet2!B42+Sheet4!C6*Sheet2!C42))*2*B45*C45/(3*B35*1000)</f>
        <v>5.6565</v>
      </c>
    </row>
    <row r="46" spans="1:6" ht="12.75">
      <c r="A46" t="s">
        <v>85</v>
      </c>
      <c r="B46">
        <v>20</v>
      </c>
      <c r="C46">
        <v>1000</v>
      </c>
      <c r="D46">
        <f>2*D35*B46*C46/(B35*1000)</f>
        <v>0.9166666666666665</v>
      </c>
      <c r="E46">
        <f>((Sheet4!C4+Sheet4!C5)*Sheet2!B41+Sheet4!C6*Sheet2!C38)*1000000*C35/(3*(30*24*60*60)*B35*1000)</f>
        <v>1.1657664609053497</v>
      </c>
      <c r="F46">
        <f>(((Sheet4!C4+Sheet4!C5)*Sheet2!B42+Sheet4!C6*Sheet2!C42))*2*B46*C46/(3*B35*1000)</f>
        <v>1.0475</v>
      </c>
    </row>
    <row r="47" spans="1:6" ht="12.75">
      <c r="A47" t="s">
        <v>86</v>
      </c>
      <c r="B47">
        <v>100</v>
      </c>
      <c r="C47">
        <v>1000</v>
      </c>
      <c r="D47">
        <f>2*D35*B47*C47/(B35*1000)</f>
        <v>4.583333333333333</v>
      </c>
      <c r="E47">
        <f>((Sheet4!C4+Sheet4!C5)*Sheet2!B41+Sheet4!C6*Sheet2!C38)*1000000*C35/(3*(30*24*60*60)*B35*1000)</f>
        <v>1.1657664609053497</v>
      </c>
      <c r="F47">
        <f>(((Sheet4!C4+Sheet4!C5)*Sheet2!B42+Sheet4!C6*Sheet2!C42))*2*B47*C47/(3*B35*1000)</f>
        <v>5.2375</v>
      </c>
    </row>
    <row r="48" spans="1:6" ht="12.75">
      <c r="A48" t="s">
        <v>87</v>
      </c>
      <c r="B48">
        <v>20</v>
      </c>
      <c r="C48">
        <v>1000</v>
      </c>
      <c r="D48">
        <f>2*D35*B48*C48/(B35*1000)</f>
        <v>0.9166666666666665</v>
      </c>
      <c r="E48">
        <f>((Sheet4!C4+Sheet4!C5)*Sheet2!B41+Sheet4!C6*Sheet2!C38)*1000000*C35/(3*(30*24*60*60)*B35*1000)</f>
        <v>1.1657664609053497</v>
      </c>
      <c r="F48">
        <f>(((Sheet4!C4+Sheet4!C5)*Sheet2!B42+Sheet4!C6*Sheet2!C42))*2*B48*C48/(3*B35*1000)</f>
        <v>1.0475</v>
      </c>
    </row>
    <row r="49" spans="1:6" ht="12.75">
      <c r="A49" t="s">
        <v>103</v>
      </c>
      <c r="D49">
        <f>SUM(D35:D48)</f>
        <v>48.354166666666664</v>
      </c>
      <c r="F49">
        <f>SUM(F35:F48)</f>
        <v>58.63895833333333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Charpentier</dc:creator>
  <cp:keywords/>
  <dc:description/>
  <cp:lastModifiedBy>Eric van Herwijnen</cp:lastModifiedBy>
  <cp:lastPrinted>2002-09-09T08:53:47Z</cp:lastPrinted>
  <dcterms:created xsi:type="dcterms:W3CDTF">2002-06-04T16:09:18Z</dcterms:created>
  <dcterms:modified xsi:type="dcterms:W3CDTF">2002-10-15T15:39:00Z</dcterms:modified>
  <cp:category/>
  <cp:version/>
  <cp:contentType/>
  <cp:contentStatus/>
</cp:coreProperties>
</file>