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20" windowWidth="19320" windowHeight="10095" activeTab="4"/>
  </bookViews>
  <sheets>
    <sheet name="Programs" sheetId="1" r:id="rId1"/>
    <sheet name="Data sizes" sheetId="2" r:id="rId2"/>
    <sheet name="PDC1" sheetId="3" r:id="rId3"/>
    <sheet name="Events'04" sheetId="4" r:id="rId4"/>
    <sheet name="CDC'04" sheetId="5" r:id="rId5"/>
  </sheets>
  <definedNames/>
  <calcPr fullCalcOnLoad="1"/>
</workbook>
</file>

<file path=xl/comments1.xml><?xml version="1.0" encoding="utf-8"?>
<comments xmlns="http://schemas.openxmlformats.org/spreadsheetml/2006/main">
  <authors>
    <author>cattaneo</author>
    <author>Nick Brook</author>
  </authors>
  <commentList>
    <comment ref="H2" authorId="0">
      <text>
        <r>
          <rPr>
            <b/>
            <sz val="8"/>
            <rFont val="Tahoma"/>
            <family val="0"/>
          </rPr>
          <t>Taken from PASTA 2002 report, http://cern.ch/david/pasta/costs_disk+proc.doc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0"/>
          </rPr>
          <t xml:space="preserve">TimingAlg normalisation: 0.8s
</t>
        </r>
      </text>
    </comment>
    <comment ref="C6" authorId="0">
      <text>
        <r>
          <rPr>
            <b/>
            <sz val="8"/>
            <rFont val="Tahoma"/>
            <family val="0"/>
          </rPr>
          <t>Assumes three files used for each other's spillover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rFont val="Tahoma"/>
            <family val="0"/>
          </rPr>
          <t>Assumes spillover reused for minimum bias events</t>
        </r>
      </text>
    </comment>
    <comment ref="E6" authorId="0">
      <text>
        <r>
          <rPr>
            <b/>
            <sz val="8"/>
            <rFont val="Tahoma"/>
            <family val="0"/>
          </rPr>
          <t>Assumes spillover events not reused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sz val="8"/>
            <rFont val="Tahoma"/>
            <family val="2"/>
          </rPr>
          <t xml:space="preserve">22" on 2.4GHz P4
</t>
        </r>
      </text>
    </comment>
    <comment ref="D11" authorId="0">
      <text>
        <r>
          <rPr>
            <sz val="8"/>
            <rFont val="Tahoma"/>
            <family val="2"/>
          </rPr>
          <t>assume quidistant between mi bias &amp; signal. As was approx case for SICB  MC</t>
        </r>
      </text>
    </comment>
    <comment ref="E11" authorId="0">
      <text>
        <r>
          <rPr>
            <sz val="8"/>
            <rFont val="Tahoma"/>
            <family val="2"/>
          </rPr>
          <t xml:space="preserve">62 s on 2.4 PIV
</t>
        </r>
      </text>
    </comment>
    <comment ref="N10" authorId="0">
      <text>
        <r>
          <rPr>
            <sz val="8"/>
            <rFont val="Tahoma"/>
            <family val="0"/>
          </rPr>
          <t xml:space="preserve">Estimate based on fact that events passing L0+L1 are "B-like"
</t>
        </r>
      </text>
    </comment>
    <comment ref="N7" authorId="0">
      <text>
        <r>
          <rPr>
            <sz val="8"/>
            <rFont val="Tahoma"/>
            <family val="0"/>
          </rPr>
          <t xml:space="preserve">Estimate based on fact that events passing L0+L1 are "B-like"
</t>
        </r>
      </text>
    </comment>
    <comment ref="N11" authorId="0">
      <text>
        <r>
          <rPr>
            <sz val="8"/>
            <rFont val="Tahoma"/>
            <family val="0"/>
          </rPr>
          <t xml:space="preserve">Estimate based on fact that events passing L0+L1 are "B-like"
</t>
        </r>
      </text>
    </comment>
    <comment ref="F11" authorId="0">
      <text>
        <r>
          <rPr>
            <b/>
            <sz val="8"/>
            <rFont val="Tahoma"/>
            <family val="0"/>
          </rPr>
          <t>cattaneo:</t>
        </r>
        <r>
          <rPr>
            <sz val="8"/>
            <rFont val="Tahoma"/>
            <family val="0"/>
          </rPr>
          <t xml:space="preserve">
Just a guess
</t>
        </r>
      </text>
    </comment>
    <comment ref="I11" authorId="1">
      <text>
        <r>
          <rPr>
            <sz val="9"/>
            <rFont val="Geneva"/>
            <family val="0"/>
          </rPr>
          <t>assume ratio was as earlier version of BOOLE</t>
        </r>
      </text>
    </comment>
    <comment ref="M11" authorId="1">
      <text>
        <r>
          <rPr>
            <b/>
            <sz val="9"/>
            <rFont val="Geneva"/>
            <family val="0"/>
          </rPr>
          <t>again assume same ratio between B &amp; min bias as earlier version</t>
        </r>
      </text>
    </comment>
  </commentList>
</comments>
</file>

<file path=xl/comments2.xml><?xml version="1.0" encoding="utf-8"?>
<comments xmlns="http://schemas.openxmlformats.org/spreadsheetml/2006/main">
  <authors>
    <author>cattaneo</author>
    <author>Nick Brook</author>
  </authors>
  <commentList>
    <comment ref="N6" authorId="0">
      <text>
        <r>
          <rPr>
            <sz val="8"/>
            <rFont val="Tahoma"/>
            <family val="0"/>
          </rPr>
          <t xml:space="preserve">Measured from stripped event files
</t>
        </r>
      </text>
    </comment>
    <comment ref="L4" authorId="0">
      <text>
        <r>
          <rPr>
            <sz val="8"/>
            <rFont val="Tahoma"/>
            <family val="0"/>
          </rPr>
          <t xml:space="preserve">Estimate shares of DST content:
MCParticles/MCVertices - 20%
Digits/Clusters - 30%
Tracks/PIDs - 30%
Relations - 20%
</t>
        </r>
      </text>
    </comment>
    <comment ref="L8" authorId="0">
      <text>
        <r>
          <rPr>
            <sz val="8"/>
            <rFont val="Tahoma"/>
            <family val="0"/>
          </rPr>
          <t xml:space="preserve">Proposed DST content:
MCParticles/MCVertices
Tracks/PIDs
Relations to MCParticles
(+referenced clusters)
Estimate 85% of Brunel v17r4 DST
</t>
        </r>
      </text>
    </comment>
    <comment ref="M10" authorId="1">
      <text>
        <r>
          <rPr>
            <b/>
            <sz val="9"/>
            <rFont val="Geneva"/>
            <family val="0"/>
          </rPr>
          <t>Again kept same ratio as previous version of Brunel</t>
        </r>
      </text>
    </comment>
  </commentList>
</comments>
</file>

<file path=xl/comments5.xml><?xml version="1.0" encoding="utf-8"?>
<comments xmlns="http://schemas.openxmlformats.org/spreadsheetml/2006/main">
  <authors>
    <author>cattaneo</author>
  </authors>
  <commentList>
    <comment ref="F17" authorId="0">
      <text>
        <r>
          <rPr>
            <sz val="8"/>
            <rFont val="Tahoma"/>
            <family val="0"/>
          </rPr>
          <t>Assume:
DIGI and SIM destroyed
DST kept at production site plus full copy at CERN</t>
        </r>
      </text>
    </comment>
    <comment ref="F19" authorId="0">
      <text>
        <r>
          <rPr>
            <sz val="8"/>
            <rFont val="Tahoma"/>
            <family val="0"/>
          </rPr>
          <t xml:space="preserve">Includes full copy of OODST
</t>
        </r>
      </text>
    </comment>
    <comment ref="C7" authorId="0">
      <text>
        <r>
          <rPr>
            <b/>
            <sz val="8"/>
            <rFont val="Tahoma"/>
            <family val="0"/>
          </rPr>
          <t>cattaneo:</t>
        </r>
        <r>
          <rPr>
            <sz val="8"/>
            <rFont val="Tahoma"/>
            <family val="0"/>
          </rPr>
          <t xml:space="preserve">
100M min bias and 50M LHC background are byproduct of B generic. Need in addition 25M LHC background</t>
        </r>
      </text>
    </comment>
    <comment ref="C8" authorId="0">
      <text>
        <r>
          <rPr>
            <b/>
            <sz val="8"/>
            <rFont val="Tahoma"/>
            <family val="0"/>
          </rPr>
          <t>cattaneo:</t>
        </r>
        <r>
          <rPr>
            <sz val="8"/>
            <rFont val="Tahoma"/>
            <family val="0"/>
          </rPr>
          <t xml:space="preserve">
one min bias (spillover reused cyclically) and one LHC background</t>
        </r>
      </text>
    </comment>
    <comment ref="C9" authorId="0">
      <text>
        <r>
          <rPr>
            <b/>
            <sz val="8"/>
            <rFont val="Tahoma"/>
            <family val="0"/>
          </rPr>
          <t>cattaneo:</t>
        </r>
        <r>
          <rPr>
            <sz val="8"/>
            <rFont val="Tahoma"/>
            <family val="0"/>
          </rPr>
          <t xml:space="preserve">
Two min bias and one LHC background events per signal event</t>
        </r>
      </text>
    </comment>
    <comment ref="C10" authorId="0">
      <text>
        <r>
          <rPr>
            <b/>
            <sz val="8"/>
            <rFont val="Tahoma"/>
            <family val="0"/>
          </rPr>
          <t>cattaneo:</t>
        </r>
        <r>
          <rPr>
            <sz val="8"/>
            <rFont val="Tahoma"/>
            <family val="0"/>
          </rPr>
          <t xml:space="preserve">
Two min bias and one LHC background events per signal event</t>
        </r>
      </text>
    </comment>
    <comment ref="E7" authorId="0">
      <text>
        <r>
          <rPr>
            <b/>
            <sz val="8"/>
            <rFont val="Tahoma"/>
            <family val="0"/>
          </rPr>
          <t>cattaneo:</t>
        </r>
        <r>
          <rPr>
            <sz val="8"/>
            <rFont val="Tahoma"/>
            <family val="0"/>
          </rPr>
          <t xml:space="preserve">
Includes only additional storage w.r.t. to B generic. If B generic is dropped, add B7*114kB</t>
        </r>
      </text>
    </comment>
    <comment ref="I19" authorId="0">
      <text>
        <r>
          <rPr>
            <b/>
            <sz val="8"/>
            <rFont val="Tahoma"/>
            <family val="0"/>
          </rPr>
          <t>cattaneo:</t>
        </r>
        <r>
          <rPr>
            <sz val="8"/>
            <rFont val="Tahoma"/>
            <family val="0"/>
          </rPr>
          <t xml:space="preserve">
Includes only additional storage w.r.t. to B generic. If B generic is dropped, add B7* 114kB.</t>
        </r>
      </text>
    </comment>
    <comment ref="B18" authorId="0">
      <text>
        <r>
          <rPr>
            <b/>
            <sz val="8"/>
            <rFont val="Tahoma"/>
            <family val="0"/>
          </rPr>
          <t>cattaneo:</t>
        </r>
        <r>
          <rPr>
            <sz val="8"/>
            <rFont val="Tahoma"/>
            <family val="0"/>
          </rPr>
          <t xml:space="preserve">
Resources given by Nick Brook, 19/11/2003
</t>
        </r>
      </text>
    </comment>
  </commentList>
</comments>
</file>

<file path=xl/sharedStrings.xml><?xml version="1.0" encoding="utf-8"?>
<sst xmlns="http://schemas.openxmlformats.org/spreadsheetml/2006/main" count="198" uniqueCount="123">
  <si>
    <t>Times per event (seconds on 1GHz PIII)</t>
  </si>
  <si>
    <t xml:space="preserve">All times normalised on 1GHz PIII processor, rated at </t>
  </si>
  <si>
    <t>SPECInt2k</t>
  </si>
  <si>
    <t>Brunel (Digi+L0+l1+Reco)</t>
  </si>
  <si>
    <t>SICBMC (Kine+Sim)</t>
  </si>
  <si>
    <t>Gauss (Kine+Sim)</t>
  </si>
  <si>
    <t>Brunel (Reco)</t>
  </si>
  <si>
    <t>Computing data challenge 2004</t>
  </si>
  <si>
    <t>Digitization</t>
  </si>
  <si>
    <t>Events processed</t>
  </si>
  <si>
    <t>Site</t>
  </si>
  <si>
    <t>SPECint2k*hours</t>
  </si>
  <si>
    <t>CPU time by site</t>
  </si>
  <si>
    <t>% share</t>
  </si>
  <si>
    <t>Last update:</t>
  </si>
  <si>
    <t>Event sizes</t>
  </si>
  <si>
    <t>Size per event (kB)</t>
  </si>
  <si>
    <t>RAWH (SICBMC - MCHits+MCParticles)</t>
  </si>
  <si>
    <t>oodst (Brunel - MCParticles, Clusters, Reco, MC truth relations)</t>
  </si>
  <si>
    <t>Tiggered min bias</t>
  </si>
  <si>
    <t>v15r3</t>
  </si>
  <si>
    <t>v23r3</t>
  </si>
  <si>
    <t>Triggered min bias</t>
  </si>
  <si>
    <t>Triggered min. bias</t>
  </si>
  <si>
    <t>Total</t>
  </si>
  <si>
    <t>Storage (GB)</t>
  </si>
  <si>
    <t>Boole (Digi+L0+L1)</t>
  </si>
  <si>
    <t>LHC bkg</t>
  </si>
  <si>
    <t>Event requests for CDC'04</t>
  </si>
  <si>
    <t>Trigger</t>
  </si>
  <si>
    <t>Min bias</t>
  </si>
  <si>
    <t>Signal</t>
  </si>
  <si>
    <t>2M Bs-&gt;Ds Pi, 8M Bs-&gt;J/Psi(mumu) phi</t>
  </si>
  <si>
    <t>Trigger hi Lumi</t>
  </si>
  <si>
    <t>Min Bias</t>
  </si>
  <si>
    <t>Trigger Special beam spot</t>
  </si>
  <si>
    <t>signal</t>
  </si>
  <si>
    <t>Physics</t>
  </si>
  <si>
    <t>B inclusive</t>
  </si>
  <si>
    <t>Min bias special</t>
  </si>
  <si>
    <t>Events requested</t>
  </si>
  <si>
    <t>Min bias standard</t>
  </si>
  <si>
    <t>50k events/channel, but at least 1000 selected+triggered. TDR channels, extra channels, specific backgrounds</t>
  </si>
  <si>
    <t>(Additional 20M desirable for tagging study)</t>
  </si>
  <si>
    <t>(Up to 100M desirable)</t>
  </si>
  <si>
    <t>Stripping factor</t>
  </si>
  <si>
    <t>Type</t>
  </si>
  <si>
    <t>By-product of B-inclusive. Minimum, to be fully reconstructed for offline selection. Other 75M?</t>
  </si>
  <si>
    <t>ES</t>
  </si>
  <si>
    <t>GB-Liverpool</t>
  </si>
  <si>
    <t>PL</t>
  </si>
  <si>
    <t>RU</t>
  </si>
  <si>
    <t>CH</t>
  </si>
  <si>
    <t>Storage required (Gbytes)</t>
  </si>
  <si>
    <t>NL-NIKHEF</t>
  </si>
  <si>
    <t>BR</t>
  </si>
  <si>
    <t>by country</t>
  </si>
  <si>
    <t>% of needed,</t>
  </si>
  <si>
    <t>Share of available</t>
  </si>
  <si>
    <t>by site</t>
  </si>
  <si>
    <t>Program performance</t>
  </si>
  <si>
    <t>Date</t>
  </si>
  <si>
    <t>Version</t>
  </si>
  <si>
    <t>SPECint2k</t>
  </si>
  <si>
    <t>Min. bias</t>
  </si>
  <si>
    <t>B decay</t>
  </si>
  <si>
    <t>v260r3</t>
  </si>
  <si>
    <t>B signal</t>
  </si>
  <si>
    <t>v17r4</t>
  </si>
  <si>
    <t>Generic B</t>
  </si>
  <si>
    <t>Physics data challenge 1</t>
  </si>
  <si>
    <t>Start date:</t>
  </si>
  <si>
    <t>Number of days</t>
  </si>
  <si>
    <t>End Date:</t>
  </si>
  <si>
    <t>Event type</t>
  </si>
  <si>
    <t>Minimum bias</t>
  </si>
  <si>
    <t>B generic</t>
  </si>
  <si>
    <t>Simulation</t>
  </si>
  <si>
    <t>Totals</t>
  </si>
  <si>
    <t>Total CPU (SPECint2k * hours)</t>
  </si>
  <si>
    <t>Reconstruction</t>
  </si>
  <si>
    <t>Time (CPU hours)</t>
  </si>
  <si>
    <t>1GHz PIII processors</t>
  </si>
  <si>
    <t>Average CPUs used (Totals/Number of days)</t>
  </si>
  <si>
    <t>CERN</t>
  </si>
  <si>
    <t>BR-LAPE</t>
  </si>
  <si>
    <t>DE-Karlsruhe</t>
  </si>
  <si>
    <t>ES-Barcelona</t>
  </si>
  <si>
    <t>ES-CESGA</t>
  </si>
  <si>
    <t>FR-Lyon</t>
  </si>
  <si>
    <t>GB-Bristol</t>
  </si>
  <si>
    <t>GB-Cambridge</t>
  </si>
  <si>
    <t>GB-Imperial</t>
  </si>
  <si>
    <t>GB-Oxford</t>
  </si>
  <si>
    <t>GB-RAL</t>
  </si>
  <si>
    <t>GB-ScotGrid</t>
  </si>
  <si>
    <t>IT-Bologna</t>
  </si>
  <si>
    <t>NL-Amsterdam</t>
  </si>
  <si>
    <t>RU-IHEP-Protvino</t>
  </si>
  <si>
    <t>RU-ITEP-Moscow</t>
  </si>
  <si>
    <t>RU-JINR-Dubna</t>
  </si>
  <si>
    <t>RU-SINP-MSU</t>
  </si>
  <si>
    <t>Brazil</t>
  </si>
  <si>
    <t>Germany</t>
  </si>
  <si>
    <t>Spain</t>
  </si>
  <si>
    <t>France</t>
  </si>
  <si>
    <t>Italy</t>
  </si>
  <si>
    <t>Netherlands</t>
  </si>
  <si>
    <t>Russia</t>
  </si>
  <si>
    <t>United Kingdom</t>
  </si>
  <si>
    <t>Share of CPU time by country</t>
  </si>
  <si>
    <t>Events generated</t>
  </si>
  <si>
    <t>All times normalised to 1GHz PIII processors</t>
  </si>
  <si>
    <t>Total time</t>
  </si>
  <si>
    <t>v5r3</t>
  </si>
  <si>
    <t>Sim (Gauss - MCHits+MCParticles)</t>
  </si>
  <si>
    <t>Digi (Boole - Digi+MCHits+MCParticles)</t>
  </si>
  <si>
    <t>Dst (Brunel - MCParticles, Reco, MCTruth relations)</t>
  </si>
  <si>
    <t>sim</t>
  </si>
  <si>
    <t>dst</t>
  </si>
  <si>
    <t>sim size (MB)</t>
  </si>
  <si>
    <t>digi size (MB)</t>
  </si>
  <si>
    <t>dst size (MB)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</si>
</sst>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E+00"/>
    <numFmt numFmtId="179" formatCode="[$-809]dd\ mmmm\ yyyy"/>
    <numFmt numFmtId="180" formatCode="yyyy/mm/dd;@"/>
    <numFmt numFmtId="181" formatCode="0.0%"/>
    <numFmt numFmtId="182" formatCode="dd/mm/yyyy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8"/>
      <name val="Arial"/>
      <family val="0"/>
    </font>
    <font>
      <b/>
      <u val="double"/>
      <sz val="1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dotted"/>
      <right style="dotted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dotted"/>
      <right style="dotted"/>
      <top style="thick"/>
      <bottom style="medium"/>
    </border>
    <border>
      <left style="thick"/>
      <right style="thick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double"/>
      <bottom style="thick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ck"/>
    </border>
    <border>
      <left>
        <color indexed="63"/>
      </left>
      <right style="thin"/>
      <top style="double"/>
      <bottom style="thick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thick"/>
    </border>
    <border>
      <left style="thick"/>
      <right style="thin"/>
      <top style="double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ck"/>
      <top style="thin"/>
      <bottom style="dotted"/>
    </border>
    <border>
      <left style="thick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ck"/>
      <top style="dotted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double"/>
    </border>
    <border>
      <left style="dashed"/>
      <right style="thin"/>
      <top style="double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>
        <color indexed="63"/>
      </left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ashed"/>
      <right style="thin"/>
      <top style="thin"/>
      <bottom style="dotted"/>
    </border>
    <border>
      <left style="dashed"/>
      <right style="thin"/>
      <top style="dotted"/>
      <bottom style="dotted"/>
    </border>
    <border>
      <left style="dashed"/>
      <right style="thin"/>
      <top style="dotted"/>
      <bottom style="thin"/>
    </border>
    <border>
      <left style="medium"/>
      <right>
        <color indexed="63"/>
      </right>
      <top style="double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right"/>
    </xf>
    <xf numFmtId="3" fontId="0" fillId="3" borderId="2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right"/>
    </xf>
    <xf numFmtId="3" fontId="0" fillId="3" borderId="15" xfId="0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0" fontId="0" fillId="3" borderId="17" xfId="0" applyFill="1" applyBorder="1" applyAlignment="1">
      <alignment horizontal="center"/>
    </xf>
    <xf numFmtId="1" fontId="0" fillId="3" borderId="18" xfId="0" applyNumberFormat="1" applyFill="1" applyBorder="1" applyAlignment="1">
      <alignment/>
    </xf>
    <xf numFmtId="0" fontId="0" fillId="4" borderId="19" xfId="0" applyFill="1" applyBorder="1" applyAlignment="1">
      <alignment/>
    </xf>
    <xf numFmtId="180" fontId="0" fillId="4" borderId="15" xfId="0" applyNumberForma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6" xfId="0" applyFill="1" applyBorder="1" applyAlignment="1">
      <alignment/>
    </xf>
    <xf numFmtId="180" fontId="0" fillId="4" borderId="21" xfId="0" applyNumberFormat="1" applyFill="1" applyBorder="1" applyAlignment="1">
      <alignment/>
    </xf>
    <xf numFmtId="1" fontId="0" fillId="4" borderId="15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0" fontId="0" fillId="4" borderId="22" xfId="0" applyFill="1" applyBorder="1" applyAlignment="1">
      <alignment horizontal="right"/>
    </xf>
    <xf numFmtId="0" fontId="0" fillId="4" borderId="23" xfId="0" applyFill="1" applyBorder="1" applyAlignment="1">
      <alignment/>
    </xf>
    <xf numFmtId="0" fontId="0" fillId="3" borderId="24" xfId="0" applyFill="1" applyBorder="1" applyAlignment="1">
      <alignment horizontal="center"/>
    </xf>
    <xf numFmtId="3" fontId="0" fillId="3" borderId="5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0" fontId="0" fillId="3" borderId="17" xfId="0" applyFill="1" applyBorder="1" applyAlignment="1">
      <alignment/>
    </xf>
    <xf numFmtId="3" fontId="0" fillId="3" borderId="9" xfId="0" applyNumberFormat="1" applyFill="1" applyBorder="1" applyAlignment="1">
      <alignment/>
    </xf>
    <xf numFmtId="0" fontId="0" fillId="3" borderId="25" xfId="0" applyFill="1" applyBorder="1" applyAlignment="1">
      <alignment/>
    </xf>
    <xf numFmtId="3" fontId="0" fillId="3" borderId="26" xfId="0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1" fontId="0" fillId="3" borderId="28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0" fillId="3" borderId="3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1" xfId="0" applyFill="1" applyBorder="1" applyAlignment="1">
      <alignment/>
    </xf>
    <xf numFmtId="0" fontId="0" fillId="6" borderId="31" xfId="0" applyFill="1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6" borderId="4" xfId="0" applyFill="1" applyBorder="1" applyAlignment="1">
      <alignment/>
    </xf>
    <xf numFmtId="181" fontId="0" fillId="6" borderId="40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38" xfId="0" applyFill="1" applyBorder="1" applyAlignment="1">
      <alignment/>
    </xf>
    <xf numFmtId="181" fontId="0" fillId="6" borderId="16" xfId="0" applyNumberFormat="1" applyFill="1" applyBorder="1" applyAlignment="1">
      <alignment/>
    </xf>
    <xf numFmtId="0" fontId="0" fillId="6" borderId="16" xfId="0" applyFill="1" applyBorder="1" applyAlignment="1">
      <alignment/>
    </xf>
    <xf numFmtId="3" fontId="0" fillId="6" borderId="39" xfId="0" applyNumberFormat="1" applyFill="1" applyBorder="1" applyAlignment="1">
      <alignment/>
    </xf>
    <xf numFmtId="3" fontId="0" fillId="6" borderId="38" xfId="0" applyNumberFormat="1" applyFill="1" applyBorder="1" applyAlignment="1">
      <alignment/>
    </xf>
    <xf numFmtId="181" fontId="0" fillId="6" borderId="44" xfId="0" applyNumberFormat="1" applyFill="1" applyBorder="1" applyAlignment="1">
      <alignment/>
    </xf>
    <xf numFmtId="3" fontId="0" fillId="6" borderId="45" xfId="0" applyNumberFormat="1" applyFill="1" applyBorder="1" applyAlignment="1">
      <alignment/>
    </xf>
    <xf numFmtId="181" fontId="0" fillId="6" borderId="46" xfId="0" applyNumberFormat="1" applyFill="1" applyBorder="1" applyAlignment="1">
      <alignment/>
    </xf>
    <xf numFmtId="0" fontId="0" fillId="3" borderId="47" xfId="0" applyFill="1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" fontId="0" fillId="0" borderId="38" xfId="0" applyNumberFormat="1" applyBorder="1" applyAlignment="1">
      <alignment/>
    </xf>
    <xf numFmtId="3" fontId="0" fillId="7" borderId="7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0" fontId="0" fillId="3" borderId="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5" xfId="0" applyFill="1" applyBorder="1" applyAlignment="1">
      <alignment/>
    </xf>
    <xf numFmtId="3" fontId="0" fillId="5" borderId="33" xfId="0" applyNumberFormat="1" applyFill="1" applyBorder="1" applyAlignment="1">
      <alignment/>
    </xf>
    <xf numFmtId="3" fontId="0" fillId="5" borderId="49" xfId="0" applyNumberFormat="1" applyFill="1" applyBorder="1" applyAlignment="1">
      <alignment/>
    </xf>
    <xf numFmtId="3" fontId="0" fillId="5" borderId="50" xfId="0" applyNumberFormat="1" applyFill="1" applyBorder="1" applyAlignment="1">
      <alignment/>
    </xf>
    <xf numFmtId="3" fontId="0" fillId="5" borderId="40" xfId="0" applyNumberFormat="1" applyFill="1" applyBorder="1" applyAlignment="1">
      <alignment/>
    </xf>
    <xf numFmtId="3" fontId="0" fillId="5" borderId="51" xfId="0" applyNumberFormat="1" applyFill="1" applyBorder="1" applyAlignment="1">
      <alignment/>
    </xf>
    <xf numFmtId="3" fontId="0" fillId="3" borderId="52" xfId="0" applyNumberFormat="1" applyFill="1" applyBorder="1" applyAlignment="1">
      <alignment/>
    </xf>
    <xf numFmtId="3" fontId="0" fillId="3" borderId="53" xfId="0" applyNumberFormat="1" applyFill="1" applyBorder="1" applyAlignment="1">
      <alignment/>
    </xf>
    <xf numFmtId="3" fontId="0" fillId="3" borderId="54" xfId="0" applyNumberFormat="1" applyFill="1" applyBorder="1" applyAlignment="1">
      <alignment/>
    </xf>
    <xf numFmtId="0" fontId="0" fillId="5" borderId="55" xfId="0" applyFill="1" applyBorder="1" applyAlignment="1">
      <alignment horizontal="right"/>
    </xf>
    <xf numFmtId="0" fontId="0" fillId="5" borderId="56" xfId="0" applyFill="1" applyBorder="1" applyAlignment="1">
      <alignment horizontal="right"/>
    </xf>
    <xf numFmtId="0" fontId="0" fillId="3" borderId="57" xfId="0" applyFill="1" applyBorder="1" applyAlignment="1">
      <alignment/>
    </xf>
    <xf numFmtId="0" fontId="0" fillId="3" borderId="58" xfId="0" applyFill="1" applyBorder="1" applyAlignment="1">
      <alignment horizontal="center"/>
    </xf>
    <xf numFmtId="0" fontId="0" fillId="4" borderId="59" xfId="0" applyFill="1" applyBorder="1" applyAlignment="1">
      <alignment/>
    </xf>
    <xf numFmtId="180" fontId="0" fillId="4" borderId="60" xfId="0" applyNumberFormat="1" applyFill="1" applyBorder="1" applyAlignment="1">
      <alignment/>
    </xf>
    <xf numFmtId="0" fontId="0" fillId="8" borderId="12" xfId="0" applyFill="1" applyBorder="1" applyAlignment="1">
      <alignment/>
    </xf>
    <xf numFmtId="14" fontId="0" fillId="8" borderId="2" xfId="0" applyNumberFormat="1" applyFill="1" applyBorder="1" applyAlignment="1">
      <alignment horizontal="left"/>
    </xf>
    <xf numFmtId="0" fontId="0" fillId="3" borderId="61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3" fontId="0" fillId="3" borderId="63" xfId="0" applyNumberFormat="1" applyFill="1" applyBorder="1" applyAlignment="1">
      <alignment/>
    </xf>
    <xf numFmtId="3" fontId="0" fillId="3" borderId="64" xfId="0" applyNumberFormat="1" applyFill="1" applyBorder="1" applyAlignment="1">
      <alignment/>
    </xf>
    <xf numFmtId="3" fontId="0" fillId="3" borderId="65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0" fillId="3" borderId="66" xfId="0" applyNumberFormat="1" applyFill="1" applyBorder="1" applyAlignment="1">
      <alignment/>
    </xf>
    <xf numFmtId="183" fontId="0" fillId="3" borderId="11" xfId="0" applyNumberFormat="1" applyFill="1" applyBorder="1" applyAlignment="1">
      <alignment/>
    </xf>
    <xf numFmtId="183" fontId="0" fillId="3" borderId="29" xfId="0" applyNumberFormat="1" applyFill="1" applyBorder="1" applyAlignment="1">
      <alignment/>
    </xf>
    <xf numFmtId="0" fontId="0" fillId="3" borderId="67" xfId="0" applyFill="1" applyBorder="1" applyAlignment="1">
      <alignment/>
    </xf>
    <xf numFmtId="3" fontId="0" fillId="3" borderId="68" xfId="0" applyNumberFormat="1" applyFill="1" applyBorder="1" applyAlignment="1">
      <alignment/>
    </xf>
    <xf numFmtId="3" fontId="0" fillId="3" borderId="69" xfId="0" applyNumberFormat="1" applyFill="1" applyBorder="1" applyAlignment="1">
      <alignment/>
    </xf>
    <xf numFmtId="3" fontId="0" fillId="3" borderId="70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0" fontId="0" fillId="5" borderId="57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71" xfId="0" applyFill="1" applyBorder="1" applyAlignment="1">
      <alignment/>
    </xf>
    <xf numFmtId="0" fontId="0" fillId="6" borderId="72" xfId="0" applyFill="1" applyBorder="1" applyAlignment="1">
      <alignment/>
    </xf>
    <xf numFmtId="0" fontId="0" fillId="6" borderId="73" xfId="0" applyFill="1" applyBorder="1" applyAlignment="1">
      <alignment/>
    </xf>
    <xf numFmtId="181" fontId="0" fillId="6" borderId="16" xfId="0" applyNumberFormat="1" applyFill="1" applyBorder="1" applyAlignment="1">
      <alignment/>
    </xf>
    <xf numFmtId="181" fontId="0" fillId="6" borderId="8" xfId="0" applyNumberFormat="1" applyFill="1" applyBorder="1" applyAlignment="1">
      <alignment/>
    </xf>
    <xf numFmtId="3" fontId="0" fillId="6" borderId="5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0" fillId="6" borderId="74" xfId="0" applyFill="1" applyBorder="1" applyAlignment="1">
      <alignment/>
    </xf>
    <xf numFmtId="0" fontId="0" fillId="6" borderId="75" xfId="0" applyFill="1" applyBorder="1" applyAlignment="1">
      <alignment/>
    </xf>
    <xf numFmtId="181" fontId="0" fillId="6" borderId="76" xfId="0" applyNumberFormat="1" applyFill="1" applyBorder="1" applyAlignment="1">
      <alignment/>
    </xf>
    <xf numFmtId="181" fontId="0" fillId="6" borderId="77" xfId="0" applyNumberFormat="1" applyFill="1" applyBorder="1" applyAlignment="1">
      <alignment/>
    </xf>
    <xf numFmtId="181" fontId="0" fillId="6" borderId="78" xfId="0" applyNumberFormat="1" applyFill="1" applyBorder="1" applyAlignment="1">
      <alignment/>
    </xf>
    <xf numFmtId="0" fontId="0" fillId="6" borderId="79" xfId="0" applyFill="1" applyBorder="1" applyAlignment="1">
      <alignment/>
    </xf>
    <xf numFmtId="181" fontId="0" fillId="6" borderId="80" xfId="0" applyNumberFormat="1" applyFill="1" applyBorder="1" applyAlignment="1">
      <alignment/>
    </xf>
    <xf numFmtId="181" fontId="0" fillId="6" borderId="81" xfId="0" applyNumberFormat="1" applyFill="1" applyBorder="1" applyAlignment="1">
      <alignment/>
    </xf>
    <xf numFmtId="181" fontId="0" fillId="6" borderId="82" xfId="0" applyNumberFormat="1" applyFill="1" applyBorder="1" applyAlignment="1">
      <alignment/>
    </xf>
    <xf numFmtId="0" fontId="0" fillId="6" borderId="34" xfId="0" applyFill="1" applyBorder="1" applyAlignment="1">
      <alignment/>
    </xf>
    <xf numFmtId="3" fontId="0" fillId="6" borderId="31" xfId="0" applyNumberFormat="1" applyFill="1" applyBorder="1" applyAlignment="1">
      <alignment/>
    </xf>
    <xf numFmtId="181" fontId="0" fillId="6" borderId="47" xfId="0" applyNumberFormat="1" applyFill="1" applyBorder="1" applyAlignment="1">
      <alignment/>
    </xf>
    <xf numFmtId="181" fontId="0" fillId="6" borderId="83" xfId="0" applyNumberFormat="1" applyFill="1" applyBorder="1" applyAlignment="1">
      <alignment/>
    </xf>
    <xf numFmtId="181" fontId="0" fillId="6" borderId="32" xfId="0" applyNumberFormat="1" applyFill="1" applyBorder="1" applyAlignment="1">
      <alignment/>
    </xf>
    <xf numFmtId="0" fontId="0" fillId="6" borderId="20" xfId="0" applyFill="1" applyBorder="1" applyAlignment="1">
      <alignment/>
    </xf>
    <xf numFmtId="3" fontId="0" fillId="6" borderId="84" xfId="0" applyNumberFormat="1" applyFill="1" applyBorder="1" applyAlignment="1">
      <alignment/>
    </xf>
    <xf numFmtId="181" fontId="0" fillId="6" borderId="85" xfId="0" applyNumberFormat="1" applyFill="1" applyBorder="1" applyAlignment="1">
      <alignment/>
    </xf>
    <xf numFmtId="181" fontId="0" fillId="6" borderId="86" xfId="0" applyNumberFormat="1" applyFill="1" applyBorder="1" applyAlignment="1">
      <alignment/>
    </xf>
    <xf numFmtId="181" fontId="0" fillId="6" borderId="87" xfId="0" applyNumberFormat="1" applyFill="1" applyBorder="1" applyAlignment="1">
      <alignment/>
    </xf>
    <xf numFmtId="0" fontId="0" fillId="6" borderId="88" xfId="0" applyFill="1" applyBorder="1" applyAlignment="1">
      <alignment/>
    </xf>
    <xf numFmtId="3" fontId="0" fillId="6" borderId="89" xfId="0" applyNumberFormat="1" applyFill="1" applyBorder="1" applyAlignment="1">
      <alignment/>
    </xf>
    <xf numFmtId="181" fontId="0" fillId="6" borderId="90" xfId="0" applyNumberFormat="1" applyFill="1" applyBorder="1" applyAlignment="1">
      <alignment/>
    </xf>
    <xf numFmtId="181" fontId="0" fillId="6" borderId="91" xfId="0" applyNumberFormat="1" applyFill="1" applyBorder="1" applyAlignment="1">
      <alignment/>
    </xf>
    <xf numFmtId="0" fontId="0" fillId="6" borderId="92" xfId="0" applyFill="1" applyBorder="1" applyAlignment="1">
      <alignment/>
    </xf>
    <xf numFmtId="3" fontId="0" fillId="6" borderId="93" xfId="0" applyNumberFormat="1" applyFill="1" applyBorder="1" applyAlignment="1">
      <alignment/>
    </xf>
    <xf numFmtId="181" fontId="0" fillId="6" borderId="94" xfId="0" applyNumberFormat="1" applyFill="1" applyBorder="1" applyAlignment="1">
      <alignment/>
    </xf>
    <xf numFmtId="181" fontId="0" fillId="6" borderId="95" xfId="0" applyNumberFormat="1" applyFill="1" applyBorder="1" applyAlignment="1">
      <alignment/>
    </xf>
    <xf numFmtId="0" fontId="0" fillId="6" borderId="96" xfId="0" applyFill="1" applyBorder="1" applyAlignment="1">
      <alignment/>
    </xf>
    <xf numFmtId="3" fontId="0" fillId="6" borderId="97" xfId="0" applyNumberFormat="1" applyFill="1" applyBorder="1" applyAlignment="1">
      <alignment/>
    </xf>
    <xf numFmtId="181" fontId="0" fillId="6" borderId="98" xfId="0" applyNumberFormat="1" applyFill="1" applyBorder="1" applyAlignment="1">
      <alignment/>
    </xf>
    <xf numFmtId="181" fontId="0" fillId="6" borderId="99" xfId="0" applyNumberFormat="1" applyFill="1" applyBorder="1" applyAlignment="1">
      <alignment/>
    </xf>
    <xf numFmtId="3" fontId="0" fillId="7" borderId="100" xfId="0" applyNumberFormat="1" applyFill="1" applyBorder="1" applyAlignment="1">
      <alignment/>
    </xf>
    <xf numFmtId="3" fontId="0" fillId="7" borderId="101" xfId="0" applyNumberFormat="1" applyFill="1" applyBorder="1" applyAlignment="1">
      <alignment/>
    </xf>
    <xf numFmtId="3" fontId="0" fillId="7" borderId="102" xfId="0" applyNumberFormat="1" applyFill="1" applyBorder="1" applyAlignment="1">
      <alignment/>
    </xf>
    <xf numFmtId="181" fontId="0" fillId="6" borderId="103" xfId="0" applyNumberFormat="1" applyFill="1" applyBorder="1" applyAlignment="1">
      <alignment/>
    </xf>
    <xf numFmtId="0" fontId="0" fillId="6" borderId="104" xfId="0" applyFill="1" applyBorder="1" applyAlignment="1">
      <alignment horizontal="center" wrapText="1"/>
    </xf>
    <xf numFmtId="0" fontId="0" fillId="6" borderId="105" xfId="0" applyFill="1" applyBorder="1" applyAlignment="1">
      <alignment horizontal="center" wrapText="1"/>
    </xf>
    <xf numFmtId="0" fontId="0" fillId="6" borderId="106" xfId="0" applyFill="1" applyBorder="1" applyAlignment="1">
      <alignment horizontal="center"/>
    </xf>
    <xf numFmtId="0" fontId="0" fillId="6" borderId="107" xfId="0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5" borderId="19" xfId="0" applyFill="1" applyBorder="1" applyAlignment="1">
      <alignment horizontal="center"/>
    </xf>
    <xf numFmtId="0" fontId="0" fillId="5" borderId="109" xfId="0" applyFill="1" applyBorder="1" applyAlignment="1">
      <alignment horizontal="center"/>
    </xf>
    <xf numFmtId="0" fontId="0" fillId="3" borderId="109" xfId="0" applyFill="1" applyBorder="1" applyAlignment="1">
      <alignment horizontal="center"/>
    </xf>
    <xf numFmtId="0" fontId="0" fillId="3" borderId="11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6" borderId="10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2" borderId="112" xfId="0" applyFill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4" borderId="112" xfId="0" applyFill="1" applyBorder="1" applyAlignment="1">
      <alignment horizontal="center"/>
    </xf>
    <xf numFmtId="0" fontId="0" fillId="4" borderId="114" xfId="0" applyFill="1" applyBorder="1" applyAlignment="1">
      <alignment horizontal="center"/>
    </xf>
    <xf numFmtId="0" fontId="0" fillId="4" borderId="113" xfId="0" applyFill="1" applyBorder="1" applyAlignment="1">
      <alignment horizontal="center"/>
    </xf>
    <xf numFmtId="0" fontId="0" fillId="4" borderId="13" xfId="0" applyFill="1" applyBorder="1" applyAlignment="1">
      <alignment horizontal="right"/>
    </xf>
    <xf numFmtId="0" fontId="0" fillId="4" borderId="111" xfId="0" applyFill="1" applyBorder="1" applyAlignment="1">
      <alignment horizontal="right"/>
    </xf>
    <xf numFmtId="0" fontId="0" fillId="6" borderId="19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15" xfId="0" applyFill="1" applyBorder="1" applyAlignment="1">
      <alignment horizontal="center"/>
    </xf>
    <xf numFmtId="0" fontId="0" fillId="3" borderId="116" xfId="0" applyFill="1" applyBorder="1" applyAlignment="1">
      <alignment horizontal="center"/>
    </xf>
    <xf numFmtId="2" fontId="0" fillId="3" borderId="116" xfId="0" applyNumberFormat="1" applyFill="1" applyBorder="1" applyAlignment="1">
      <alignment horizontal="center"/>
    </xf>
    <xf numFmtId="2" fontId="0" fillId="3" borderId="117" xfId="0" applyNumberFormat="1" applyFill="1" applyBorder="1" applyAlignment="1">
      <alignment horizontal="center"/>
    </xf>
    <xf numFmtId="0" fontId="5" fillId="9" borderId="118" xfId="0" applyFont="1" applyFill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9" borderId="80" xfId="0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7" borderId="6" xfId="0" applyFill="1" applyBorder="1" applyAlignment="1">
      <alignment horizontal="center" wrapText="1"/>
    </xf>
    <xf numFmtId="0" fontId="0" fillId="7" borderId="122" xfId="0" applyFill="1" applyBorder="1" applyAlignment="1">
      <alignment horizontal="center" wrapText="1"/>
    </xf>
    <xf numFmtId="0" fontId="0" fillId="0" borderId="123" xfId="0" applyBorder="1" applyAlignment="1">
      <alignment horizontal="center"/>
    </xf>
    <xf numFmtId="2" fontId="0" fillId="3" borderId="124" xfId="0" applyNumberFormat="1" applyFill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3" borderId="125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4" borderId="23" xfId="0" applyFill="1" applyBorder="1" applyAlignment="1">
      <alignment horizontal="right"/>
    </xf>
    <xf numFmtId="0" fontId="0" fillId="0" borderId="22" xfId="0" applyBorder="1" applyAlignment="1">
      <alignment/>
    </xf>
    <xf numFmtId="0" fontId="0" fillId="3" borderId="13" xfId="0" applyFill="1" applyBorder="1" applyAlignment="1">
      <alignment horizontal="right"/>
    </xf>
    <xf numFmtId="0" fontId="0" fillId="0" borderId="111" xfId="0" applyBorder="1" applyAlignment="1">
      <alignment horizontal="right"/>
    </xf>
    <xf numFmtId="0" fontId="5" fillId="9" borderId="126" xfId="0" applyFont="1" applyFill="1" applyBorder="1" applyAlignment="1">
      <alignment horizontal="center"/>
    </xf>
    <xf numFmtId="0" fontId="5" fillId="9" borderId="127" xfId="0" applyFont="1" applyFill="1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9" xfId="0" applyBorder="1" applyAlignment="1">
      <alignment horizontal="center"/>
    </xf>
    <xf numFmtId="3" fontId="0" fillId="3" borderId="130" xfId="0" applyNumberFormat="1" applyFill="1" applyBorder="1" applyAlignment="1">
      <alignment/>
    </xf>
    <xf numFmtId="0" fontId="0" fillId="0" borderId="131" xfId="0" applyBorder="1" applyAlignment="1">
      <alignment/>
    </xf>
    <xf numFmtId="3" fontId="0" fillId="3" borderId="132" xfId="0" applyNumberFormat="1" applyFill="1" applyBorder="1" applyAlignment="1">
      <alignment/>
    </xf>
    <xf numFmtId="0" fontId="0" fillId="0" borderId="11" xfId="0" applyBorder="1" applyAlignment="1">
      <alignment/>
    </xf>
    <xf numFmtId="3" fontId="0" fillId="3" borderId="133" xfId="0" applyNumberFormat="1" applyFill="1" applyBorder="1" applyAlignment="1">
      <alignment/>
    </xf>
    <xf numFmtId="0" fontId="0" fillId="0" borderId="29" xfId="0" applyBorder="1" applyAlignment="1">
      <alignment/>
    </xf>
    <xf numFmtId="181" fontId="0" fillId="6" borderId="134" xfId="0" applyNumberFormat="1" applyFill="1" applyBorder="1" applyAlignment="1">
      <alignment vertical="center"/>
    </xf>
    <xf numFmtId="0" fontId="0" fillId="6" borderId="135" xfId="0" applyFill="1" applyBorder="1" applyAlignment="1">
      <alignment vertical="center"/>
    </xf>
    <xf numFmtId="0" fontId="0" fillId="6" borderId="136" xfId="0" applyFill="1" applyBorder="1" applyAlignment="1">
      <alignment vertical="center"/>
    </xf>
    <xf numFmtId="0" fontId="0" fillId="3" borderId="23" xfId="0" applyFill="1" applyBorder="1" applyAlignment="1">
      <alignment horizontal="right"/>
    </xf>
    <xf numFmtId="0" fontId="0" fillId="0" borderId="22" xfId="0" applyBorder="1" applyAlignment="1">
      <alignment horizontal="right"/>
    </xf>
    <xf numFmtId="3" fontId="0" fillId="3" borderId="137" xfId="0" applyNumberFormat="1" applyFill="1" applyBorder="1" applyAlignment="1">
      <alignment/>
    </xf>
    <xf numFmtId="0" fontId="0" fillId="0" borderId="66" xfId="0" applyBorder="1" applyAlignment="1">
      <alignment/>
    </xf>
    <xf numFmtId="0" fontId="0" fillId="6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138" xfId="0" applyFill="1" applyBorder="1" applyAlignment="1">
      <alignment horizontal="center"/>
    </xf>
    <xf numFmtId="0" fontId="0" fillId="6" borderId="139" xfId="0" applyFill="1" applyBorder="1" applyAlignment="1">
      <alignment horizontal="center"/>
    </xf>
    <xf numFmtId="0" fontId="0" fillId="5" borderId="115" xfId="0" applyFill="1" applyBorder="1" applyAlignment="1">
      <alignment horizontal="center"/>
    </xf>
    <xf numFmtId="0" fontId="0" fillId="0" borderId="116" xfId="0" applyBorder="1" applyAlignment="1">
      <alignment horizontal="center"/>
    </xf>
    <xf numFmtId="0" fontId="0" fillId="4" borderId="126" xfId="0" applyFill="1" applyBorder="1" applyAlignment="1">
      <alignment horizontal="center"/>
    </xf>
    <xf numFmtId="0" fontId="0" fillId="0" borderId="128" xfId="0" applyBorder="1" applyAlignment="1">
      <alignment/>
    </xf>
    <xf numFmtId="1" fontId="0" fillId="4" borderId="76" xfId="0" applyNumberFormat="1" applyFill="1" applyBorder="1" applyAlignment="1">
      <alignment/>
    </xf>
    <xf numFmtId="0" fontId="0" fillId="0" borderId="140" xfId="0" applyBorder="1" applyAlignment="1">
      <alignment/>
    </xf>
    <xf numFmtId="3" fontId="0" fillId="4" borderId="42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4" borderId="141" xfId="0" applyFill="1" applyBorder="1" applyAlignment="1">
      <alignment horizontal="right"/>
    </xf>
    <xf numFmtId="0" fontId="0" fillId="0" borderId="142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O12" sqref="O12"/>
    </sheetView>
  </sheetViews>
  <sheetFormatPr defaultColWidth="9.140625" defaultRowHeight="12.75"/>
  <cols>
    <col min="1" max="1" width="11.421875" style="50" customWidth="1"/>
    <col min="2" max="6" width="8.8515625" style="0" customWidth="1"/>
    <col min="7" max="7" width="2.421875" style="0" customWidth="1"/>
    <col min="8" max="10" width="8.8515625" style="0" customWidth="1"/>
    <col min="11" max="11" width="2.421875" style="0" customWidth="1"/>
    <col min="12" max="13" width="8.8515625" style="0" customWidth="1"/>
    <col min="14" max="14" width="15.7109375" style="0" customWidth="1"/>
    <col min="15" max="16384" width="8.8515625" style="0" customWidth="1"/>
  </cols>
  <sheetData>
    <row r="1" ht="23.25">
      <c r="A1" s="51" t="s">
        <v>60</v>
      </c>
    </row>
    <row r="2" spans="1:9" ht="12.75">
      <c r="A2" s="190" t="s">
        <v>1</v>
      </c>
      <c r="B2" s="191"/>
      <c r="C2" s="191"/>
      <c r="D2" s="191"/>
      <c r="E2" s="191"/>
      <c r="F2" s="191"/>
      <c r="G2" s="191"/>
      <c r="H2">
        <v>400</v>
      </c>
      <c r="I2" t="s">
        <v>2</v>
      </c>
    </row>
    <row r="3" ht="13.5" thickBot="1"/>
    <row r="4" spans="1:15" ht="16.5" thickTop="1">
      <c r="A4" s="57"/>
      <c r="B4" s="187" t="s">
        <v>0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1:15" ht="13.5" thickBot="1">
      <c r="A5" s="58"/>
      <c r="B5" s="197" t="s">
        <v>4</v>
      </c>
      <c r="C5" s="198"/>
      <c r="D5" s="198"/>
      <c r="E5" s="198"/>
      <c r="F5" s="97"/>
      <c r="G5" s="49"/>
      <c r="H5" s="52"/>
      <c r="I5" s="52"/>
      <c r="J5" s="52"/>
      <c r="K5" s="52"/>
      <c r="L5" s="199" t="s">
        <v>3</v>
      </c>
      <c r="M5" s="199"/>
      <c r="N5" s="200"/>
      <c r="O5" s="201"/>
    </row>
    <row r="6" spans="1:15" ht="13.5" thickTop="1">
      <c r="A6" s="59" t="s">
        <v>61</v>
      </c>
      <c r="B6" s="64" t="s">
        <v>62</v>
      </c>
      <c r="C6" s="65" t="s">
        <v>64</v>
      </c>
      <c r="D6" s="65" t="s">
        <v>69</v>
      </c>
      <c r="E6" s="65" t="s">
        <v>67</v>
      </c>
      <c r="F6" s="98"/>
      <c r="G6" s="52"/>
      <c r="H6" s="52"/>
      <c r="I6" s="52"/>
      <c r="J6" s="52"/>
      <c r="K6" s="52"/>
      <c r="L6" s="53" t="s">
        <v>62</v>
      </c>
      <c r="M6" s="53" t="s">
        <v>64</v>
      </c>
      <c r="N6" s="92" t="s">
        <v>19</v>
      </c>
      <c r="O6" s="54" t="s">
        <v>65</v>
      </c>
    </row>
    <row r="7" spans="1:15" ht="12.75">
      <c r="A7" s="60">
        <v>37681</v>
      </c>
      <c r="B7" s="69" t="s">
        <v>66</v>
      </c>
      <c r="C7" s="70">
        <v>38</v>
      </c>
      <c r="D7" s="70">
        <v>105</v>
      </c>
      <c r="E7" s="70">
        <f>D7+2*C7</f>
        <v>181</v>
      </c>
      <c r="F7" s="52"/>
      <c r="G7" s="55"/>
      <c r="H7" s="52"/>
      <c r="I7" s="52"/>
      <c r="J7" s="52"/>
      <c r="K7" s="52"/>
      <c r="L7" s="75" t="s">
        <v>68</v>
      </c>
      <c r="M7" s="75">
        <v>33</v>
      </c>
      <c r="N7" s="93">
        <f>O7</f>
        <v>95</v>
      </c>
      <c r="O7" s="76">
        <v>95</v>
      </c>
    </row>
    <row r="8" spans="1:15" ht="13.5" thickBot="1">
      <c r="A8" s="60"/>
      <c r="B8" s="77"/>
      <c r="C8" s="78"/>
      <c r="D8" s="78"/>
      <c r="E8" s="67"/>
      <c r="F8" s="52"/>
      <c r="G8" s="55"/>
      <c r="H8" s="52"/>
      <c r="I8" s="52"/>
      <c r="J8" s="52"/>
      <c r="K8" s="55"/>
      <c r="L8" s="79"/>
      <c r="M8" s="78"/>
      <c r="N8" s="78"/>
      <c r="O8" s="80"/>
    </row>
    <row r="9" spans="1:15" ht="13.5" thickTop="1">
      <c r="A9" s="60"/>
      <c r="B9" s="192" t="s">
        <v>5</v>
      </c>
      <c r="C9" s="193"/>
      <c r="D9" s="193"/>
      <c r="E9" s="193"/>
      <c r="F9" s="99"/>
      <c r="G9" s="62"/>
      <c r="H9" s="202" t="s">
        <v>26</v>
      </c>
      <c r="I9" s="202"/>
      <c r="J9" s="202"/>
      <c r="K9" s="63"/>
      <c r="L9" s="194" t="s">
        <v>6</v>
      </c>
      <c r="M9" s="194"/>
      <c r="N9" s="195"/>
      <c r="O9" s="196"/>
    </row>
    <row r="10" spans="1:15" ht="12.75">
      <c r="A10" s="60"/>
      <c r="B10" s="64" t="s">
        <v>62</v>
      </c>
      <c r="C10" s="65" t="s">
        <v>64</v>
      </c>
      <c r="D10" s="65" t="s">
        <v>69</v>
      </c>
      <c r="E10" s="65" t="s">
        <v>67</v>
      </c>
      <c r="F10" s="100" t="s">
        <v>27</v>
      </c>
      <c r="G10" s="62"/>
      <c r="H10" s="66" t="s">
        <v>62</v>
      </c>
      <c r="I10" s="66" t="s">
        <v>64</v>
      </c>
      <c r="J10" s="66" t="s">
        <v>65</v>
      </c>
      <c r="K10" s="63"/>
      <c r="L10" s="53" t="s">
        <v>62</v>
      </c>
      <c r="M10" s="53" t="s">
        <v>64</v>
      </c>
      <c r="N10" s="92" t="s">
        <v>19</v>
      </c>
      <c r="O10" s="54" t="s">
        <v>65</v>
      </c>
    </row>
    <row r="11" spans="1:15" ht="13.5" thickBot="1">
      <c r="A11" s="61"/>
      <c r="B11" s="71" t="s">
        <v>20</v>
      </c>
      <c r="C11" s="68">
        <v>37</v>
      </c>
      <c r="D11" s="68">
        <v>99</v>
      </c>
      <c r="E11" s="68">
        <v>85</v>
      </c>
      <c r="F11" s="101">
        <v>0</v>
      </c>
      <c r="G11" s="56"/>
      <c r="H11" s="68" t="s">
        <v>114</v>
      </c>
      <c r="I11" s="72">
        <v>3</v>
      </c>
      <c r="J11" s="72">
        <v>4.5</v>
      </c>
      <c r="K11" s="73"/>
      <c r="L11" s="72" t="s">
        <v>21</v>
      </c>
      <c r="M11" s="72">
        <v>3</v>
      </c>
      <c r="N11" s="94">
        <v>14</v>
      </c>
      <c r="O11" s="74">
        <v>14</v>
      </c>
    </row>
    <row r="12" ht="13.5" thickTop="1"/>
  </sheetData>
  <mergeCells count="7">
    <mergeCell ref="B4:O4"/>
    <mergeCell ref="A2:G2"/>
    <mergeCell ref="B9:E9"/>
    <mergeCell ref="L9:O9"/>
    <mergeCell ref="B5:E5"/>
    <mergeCell ref="L5:O5"/>
    <mergeCell ref="H9:J9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2">
      <selection activeCell="M10" sqref="M10"/>
    </sheetView>
  </sheetViews>
  <sheetFormatPr defaultColWidth="9.140625" defaultRowHeight="12.75"/>
  <cols>
    <col min="1" max="1" width="11.421875" style="50" customWidth="1"/>
    <col min="2" max="2" width="11.140625" style="0" customWidth="1"/>
    <col min="3" max="3" width="11.421875" style="0" customWidth="1"/>
    <col min="4" max="5" width="12.28125" style="0" customWidth="1"/>
    <col min="6" max="6" width="2.421875" style="0" customWidth="1"/>
    <col min="7" max="7" width="7.421875" style="0" customWidth="1"/>
    <col min="8" max="8" width="8.8515625" style="0" customWidth="1"/>
    <col min="9" max="9" width="17.00390625" style="0" customWidth="1"/>
    <col min="10" max="10" width="8.00390625" style="0" customWidth="1"/>
    <col min="11" max="11" width="2.421875" style="0" customWidth="1"/>
    <col min="12" max="12" width="9.00390625" style="0" customWidth="1"/>
    <col min="13" max="13" width="13.00390625" style="0" customWidth="1"/>
    <col min="14" max="14" width="18.140625" style="0" customWidth="1"/>
    <col min="15" max="15" width="13.421875" style="0" customWidth="1"/>
    <col min="16" max="16384" width="8.8515625" style="0" customWidth="1"/>
  </cols>
  <sheetData>
    <row r="1" ht="23.25">
      <c r="A1" s="51" t="s">
        <v>15</v>
      </c>
    </row>
    <row r="2" ht="13.5" thickBot="1"/>
    <row r="3" spans="1:15" ht="16.5" thickTop="1">
      <c r="A3" s="57"/>
      <c r="B3" s="187" t="s">
        <v>16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/>
    </row>
    <row r="4" spans="1:15" ht="13.5" thickBot="1">
      <c r="A4" s="58"/>
      <c r="B4" s="197" t="s">
        <v>17</v>
      </c>
      <c r="C4" s="198"/>
      <c r="D4" s="198"/>
      <c r="E4" s="97"/>
      <c r="F4" s="49"/>
      <c r="G4" s="52"/>
      <c r="H4" s="52"/>
      <c r="I4" s="52"/>
      <c r="J4" s="52"/>
      <c r="K4" s="52"/>
      <c r="L4" s="199" t="s">
        <v>18</v>
      </c>
      <c r="M4" s="199"/>
      <c r="N4" s="200"/>
      <c r="O4" s="201"/>
    </row>
    <row r="5" spans="1:15" ht="13.5" thickTop="1">
      <c r="A5" s="59" t="s">
        <v>61</v>
      </c>
      <c r="B5" s="64" t="s">
        <v>62</v>
      </c>
      <c r="C5" s="65" t="s">
        <v>64</v>
      </c>
      <c r="D5" s="65" t="s">
        <v>65</v>
      </c>
      <c r="E5" s="98"/>
      <c r="F5" s="52"/>
      <c r="G5" s="52"/>
      <c r="H5" s="52"/>
      <c r="I5" s="52"/>
      <c r="J5" s="52"/>
      <c r="K5" s="52"/>
      <c r="L5" s="53" t="s">
        <v>62</v>
      </c>
      <c r="M5" s="53" t="s">
        <v>64</v>
      </c>
      <c r="N5" s="92" t="s">
        <v>22</v>
      </c>
      <c r="O5" s="54" t="s">
        <v>65</v>
      </c>
    </row>
    <row r="6" spans="1:15" ht="12.75">
      <c r="A6" s="60">
        <v>37681</v>
      </c>
      <c r="B6" s="69" t="s">
        <v>66</v>
      </c>
      <c r="C6" s="70">
        <v>500</v>
      </c>
      <c r="D6" s="70">
        <v>1100</v>
      </c>
      <c r="E6" s="52"/>
      <c r="F6" s="55"/>
      <c r="G6" s="52"/>
      <c r="H6" s="52"/>
      <c r="I6" s="52"/>
      <c r="J6" s="52"/>
      <c r="K6" s="52"/>
      <c r="L6" s="75" t="s">
        <v>68</v>
      </c>
      <c r="M6" s="75">
        <v>80</v>
      </c>
      <c r="N6" s="93">
        <v>290</v>
      </c>
      <c r="O6" s="76">
        <v>200</v>
      </c>
    </row>
    <row r="7" spans="1:15" ht="13.5" thickBot="1">
      <c r="A7" s="60"/>
      <c r="B7" s="77"/>
      <c r="C7" s="78"/>
      <c r="D7" s="78"/>
      <c r="E7" s="52"/>
      <c r="F7" s="55"/>
      <c r="G7" s="52"/>
      <c r="H7" s="52"/>
      <c r="I7" s="52"/>
      <c r="J7" s="52"/>
      <c r="K7" s="55"/>
      <c r="L7" s="79"/>
      <c r="M7" s="78"/>
      <c r="N7" s="78"/>
      <c r="O7" s="80"/>
    </row>
    <row r="8" spans="1:15" ht="13.5" thickTop="1">
      <c r="A8" s="60"/>
      <c r="B8" s="203" t="s">
        <v>115</v>
      </c>
      <c r="C8" s="204"/>
      <c r="D8" s="204"/>
      <c r="E8" s="205"/>
      <c r="F8" s="62"/>
      <c r="G8" s="202" t="s">
        <v>116</v>
      </c>
      <c r="H8" s="202"/>
      <c r="I8" s="202"/>
      <c r="J8" s="202"/>
      <c r="K8" s="63"/>
      <c r="L8" s="194" t="s">
        <v>117</v>
      </c>
      <c r="M8" s="194"/>
      <c r="N8" s="195"/>
      <c r="O8" s="196"/>
    </row>
    <row r="9" spans="1:15" ht="12.75">
      <c r="A9" s="60"/>
      <c r="B9" s="64" t="s">
        <v>62</v>
      </c>
      <c r="C9" s="65" t="s">
        <v>64</v>
      </c>
      <c r="D9" s="65" t="s">
        <v>69</v>
      </c>
      <c r="E9" s="65" t="s">
        <v>27</v>
      </c>
      <c r="F9" s="62"/>
      <c r="G9" s="66" t="s">
        <v>62</v>
      </c>
      <c r="H9" s="66" t="s">
        <v>64</v>
      </c>
      <c r="I9" s="66" t="s">
        <v>23</v>
      </c>
      <c r="J9" s="66" t="s">
        <v>65</v>
      </c>
      <c r="K9" s="63"/>
      <c r="L9" s="53" t="s">
        <v>62</v>
      </c>
      <c r="M9" s="53" t="s">
        <v>64</v>
      </c>
      <c r="N9" s="92" t="s">
        <v>22</v>
      </c>
      <c r="O9" s="54" t="s">
        <v>65</v>
      </c>
    </row>
    <row r="10" spans="1:15" ht="13.5" thickBot="1">
      <c r="A10" s="61">
        <v>38078</v>
      </c>
      <c r="B10" s="71" t="s">
        <v>20</v>
      </c>
      <c r="C10" s="68">
        <v>202</v>
      </c>
      <c r="D10" s="68">
        <v>520</v>
      </c>
      <c r="E10" s="68">
        <v>0</v>
      </c>
      <c r="F10" s="56"/>
      <c r="G10" s="68" t="s">
        <v>114</v>
      </c>
      <c r="H10" s="72">
        <v>520</v>
      </c>
      <c r="I10" s="72">
        <v>1040</v>
      </c>
      <c r="J10" s="72">
        <v>1040</v>
      </c>
      <c r="K10" s="73"/>
      <c r="L10" s="72" t="s">
        <v>21</v>
      </c>
      <c r="M10" s="72">
        <v>160</v>
      </c>
      <c r="N10" s="95">
        <v>400</v>
      </c>
      <c r="O10" s="72">
        <v>400</v>
      </c>
    </row>
    <row r="11" ht="13.5" thickTop="1"/>
  </sheetData>
  <mergeCells count="6">
    <mergeCell ref="G8:J8"/>
    <mergeCell ref="L8:O8"/>
    <mergeCell ref="B3:O3"/>
    <mergeCell ref="B4:D4"/>
    <mergeCell ref="L4:O4"/>
    <mergeCell ref="B8:E8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F19" sqref="F19"/>
    </sheetView>
  </sheetViews>
  <sheetFormatPr defaultColWidth="9.140625" defaultRowHeight="12.75"/>
  <cols>
    <col min="1" max="1" width="15.140625" style="0" customWidth="1"/>
    <col min="2" max="3" width="15.421875" style="0" customWidth="1"/>
    <col min="4" max="4" width="0.9921875" style="0" customWidth="1"/>
    <col min="5" max="5" width="16.00390625" style="0" customWidth="1"/>
    <col min="6" max="6" width="15.8515625" style="0" customWidth="1"/>
    <col min="7" max="7" width="8.8515625" style="0" customWidth="1"/>
    <col min="8" max="8" width="14.421875" style="0" customWidth="1"/>
    <col min="9" max="9" width="12.00390625" style="0" customWidth="1"/>
    <col min="10" max="16384" width="8.8515625" style="0" customWidth="1"/>
  </cols>
  <sheetData>
    <row r="1" spans="1:6" ht="23.25">
      <c r="A1" s="219" t="s">
        <v>70</v>
      </c>
      <c r="B1" s="220"/>
      <c r="C1" s="220"/>
      <c r="D1" s="220"/>
      <c r="E1" s="220"/>
      <c r="F1" s="221"/>
    </row>
    <row r="2" spans="1:6" ht="12.75">
      <c r="A2" s="222" t="s">
        <v>112</v>
      </c>
      <c r="B2" s="223"/>
      <c r="C2" s="223"/>
      <c r="D2" s="223"/>
      <c r="E2" s="223"/>
      <c r="F2" s="224"/>
    </row>
    <row r="3" ht="13.5" thickBot="1"/>
    <row r="4" spans="1:2" ht="13.5" thickTop="1">
      <c r="A4" s="28" t="s">
        <v>71</v>
      </c>
      <c r="B4" s="29">
        <v>37664</v>
      </c>
    </row>
    <row r="5" spans="1:2" ht="13.5" thickBot="1">
      <c r="A5" s="30" t="s">
        <v>73</v>
      </c>
      <c r="B5" s="33">
        <f>B4+B6</f>
        <v>37723</v>
      </c>
    </row>
    <row r="6" spans="1:2" ht="14.25" thickBot="1" thickTop="1">
      <c r="A6" s="31" t="s">
        <v>72</v>
      </c>
      <c r="B6" s="32">
        <v>59</v>
      </c>
    </row>
    <row r="7" ht="14.25" thickBot="1" thickTop="1"/>
    <row r="8" spans="1:6" ht="14.25" thickBot="1" thickTop="1">
      <c r="A8" s="6"/>
      <c r="B8" s="215" t="s">
        <v>77</v>
      </c>
      <c r="C8" s="216"/>
      <c r="D8" s="38"/>
      <c r="E8" s="217" t="s">
        <v>80</v>
      </c>
      <c r="F8" s="218"/>
    </row>
    <row r="9" spans="1:6" ht="13.5" thickBot="1">
      <c r="A9" s="7" t="s">
        <v>74</v>
      </c>
      <c r="B9" s="8" t="s">
        <v>111</v>
      </c>
      <c r="C9" s="9" t="s">
        <v>81</v>
      </c>
      <c r="D9" s="26"/>
      <c r="E9" s="10" t="s">
        <v>9</v>
      </c>
      <c r="F9" s="11" t="s">
        <v>81</v>
      </c>
    </row>
    <row r="10" spans="1:6" ht="13.5" thickTop="1">
      <c r="A10" s="12" t="s">
        <v>75</v>
      </c>
      <c r="B10" s="13">
        <f>3*B11</f>
        <v>32597850</v>
      </c>
      <c r="C10" s="14">
        <f>B10*Programs!C7/3600</f>
        <v>344088.4166666667</v>
      </c>
      <c r="D10" s="27"/>
      <c r="E10" s="15">
        <f>B10</f>
        <v>32597850</v>
      </c>
      <c r="F10" s="16">
        <f>E10*Programs!M7/3600</f>
        <v>298813.625</v>
      </c>
    </row>
    <row r="11" spans="1:6" ht="12.75">
      <c r="A11" s="12" t="s">
        <v>76</v>
      </c>
      <c r="B11" s="13">
        <v>10865950</v>
      </c>
      <c r="C11" s="14">
        <f>Programs!D7*PDC1!B11/3600</f>
        <v>316923.5416666667</v>
      </c>
      <c r="D11" s="27"/>
      <c r="E11" s="15">
        <f>B11</f>
        <v>10865950</v>
      </c>
      <c r="F11" s="16">
        <f>E11*Programs!O7/3600</f>
        <v>286740.34722222225</v>
      </c>
    </row>
    <row r="12" spans="1:6" ht="13.5" thickBot="1">
      <c r="A12" s="43" t="s">
        <v>67</v>
      </c>
      <c r="B12" s="44">
        <v>3743000</v>
      </c>
      <c r="C12" s="45">
        <f>B12*Programs!E7/3600</f>
        <v>188189.72222222222</v>
      </c>
      <c r="D12" s="46"/>
      <c r="E12" s="47">
        <f>B12</f>
        <v>3743000</v>
      </c>
      <c r="F12" s="48">
        <f>E12*Programs!O7/3600</f>
        <v>98773.61111111111</v>
      </c>
    </row>
    <row r="13" spans="1:6" ht="14.25" thickBot="1" thickTop="1">
      <c r="A13" s="7" t="s">
        <v>78</v>
      </c>
      <c r="B13" s="39">
        <f>SUM(B10:B12)</f>
        <v>47206800</v>
      </c>
      <c r="C13" s="40">
        <f>SUM(C10:C12)</f>
        <v>849201.6805555556</v>
      </c>
      <c r="D13" s="41"/>
      <c r="E13" s="42">
        <f>SUM(E10:E12)</f>
        <v>47206800</v>
      </c>
      <c r="F13" s="20">
        <f>SUM(F10:F12)</f>
        <v>684327.5833333334</v>
      </c>
    </row>
    <row r="14" spans="3:6" ht="13.5" thickTop="1">
      <c r="C14" s="21"/>
      <c r="D14" s="22"/>
      <c r="E14" s="23" t="s">
        <v>113</v>
      </c>
      <c r="F14" s="24">
        <f>F13+C13</f>
        <v>1533529.263888889</v>
      </c>
    </row>
    <row r="15" spans="3:6" ht="13.5" thickBot="1">
      <c r="C15" s="17"/>
      <c r="D15" s="18"/>
      <c r="E15" s="19" t="s">
        <v>79</v>
      </c>
      <c r="F15" s="25">
        <f>F14*Programs!H2</f>
        <v>613411705.5555556</v>
      </c>
    </row>
    <row r="16" ht="14.25" thickBot="1" thickTop="1"/>
    <row r="17" spans="1:7" ht="14.25" thickBot="1" thickTop="1">
      <c r="A17" s="208" t="s">
        <v>83</v>
      </c>
      <c r="B17" s="209"/>
      <c r="C17" s="210"/>
      <c r="E17" s="213" t="s">
        <v>12</v>
      </c>
      <c r="F17" s="202"/>
      <c r="G17" s="214"/>
    </row>
    <row r="18" spans="1:7" ht="14.25" thickBot="1" thickTop="1">
      <c r="A18" s="211" t="s">
        <v>82</v>
      </c>
      <c r="B18" s="212"/>
      <c r="C18" s="34">
        <f>F14/(B6*24)</f>
        <v>1083.000892576899</v>
      </c>
      <c r="E18" s="83" t="s">
        <v>10</v>
      </c>
      <c r="F18" s="84" t="s">
        <v>11</v>
      </c>
      <c r="G18" s="86" t="s">
        <v>13</v>
      </c>
    </row>
    <row r="19" spans="1:7" ht="14.25" thickBot="1" thickTop="1">
      <c r="A19" s="37"/>
      <c r="B19" s="36" t="s">
        <v>63</v>
      </c>
      <c r="C19" s="35">
        <f>F15/(B6*24)</f>
        <v>433200.35703075957</v>
      </c>
      <c r="E19" s="81" t="s">
        <v>84</v>
      </c>
      <c r="F19" s="87">
        <f>G19*F15</f>
        <v>126976223.05</v>
      </c>
      <c r="G19" s="82">
        <v>0.207</v>
      </c>
    </row>
    <row r="20" spans="5:7" ht="13.5" thickTop="1">
      <c r="E20" s="81" t="s">
        <v>85</v>
      </c>
      <c r="F20" s="87">
        <f>G20*F15</f>
        <v>3067058.527777778</v>
      </c>
      <c r="G20" s="82">
        <v>0.005</v>
      </c>
    </row>
    <row r="21" spans="5:7" ht="12.75">
      <c r="E21" s="81" t="s">
        <v>86</v>
      </c>
      <c r="F21" s="87">
        <f>G21*F15</f>
        <v>97532461.18333334</v>
      </c>
      <c r="G21" s="82">
        <v>0.159</v>
      </c>
    </row>
    <row r="22" spans="5:7" ht="12.75">
      <c r="E22" s="81" t="s">
        <v>87</v>
      </c>
      <c r="F22" s="87">
        <f>G22*F15</f>
        <v>17788939.461111113</v>
      </c>
      <c r="G22" s="82">
        <v>0.029</v>
      </c>
    </row>
    <row r="23" spans="5:7" ht="12.75">
      <c r="E23" s="81" t="s">
        <v>88</v>
      </c>
      <c r="F23" s="87">
        <f>G23*F15</f>
        <v>7360940.466666667</v>
      </c>
      <c r="G23" s="82">
        <v>0.012</v>
      </c>
    </row>
    <row r="24" spans="5:7" ht="12.75">
      <c r="E24" s="81" t="s">
        <v>89</v>
      </c>
      <c r="F24" s="87">
        <f>G24*F15</f>
        <v>55207053.5</v>
      </c>
      <c r="G24" s="82">
        <v>0.09</v>
      </c>
    </row>
    <row r="25" spans="5:7" ht="12.75">
      <c r="E25" s="81" t="s">
        <v>90</v>
      </c>
      <c r="F25" s="87">
        <f>G25*F15</f>
        <v>5520705.35</v>
      </c>
      <c r="G25" s="82">
        <v>0.009</v>
      </c>
    </row>
    <row r="26" spans="5:7" ht="13.5" thickBot="1">
      <c r="E26" s="81" t="s">
        <v>91</v>
      </c>
      <c r="F26" s="87">
        <f>G26*F15</f>
        <v>12881645.816666668</v>
      </c>
      <c r="G26" s="82">
        <v>0.021</v>
      </c>
    </row>
    <row r="27" spans="2:7" ht="14.25" thickBot="1" thickTop="1">
      <c r="B27" s="206" t="s">
        <v>110</v>
      </c>
      <c r="C27" s="207"/>
      <c r="E27" s="81" t="s">
        <v>92</v>
      </c>
      <c r="F27" s="87">
        <f>G27*F15</f>
        <v>78516698.31111112</v>
      </c>
      <c r="G27" s="82">
        <v>0.128</v>
      </c>
    </row>
    <row r="28" spans="2:7" ht="13.5" thickTop="1">
      <c r="B28" s="3" t="s">
        <v>84</v>
      </c>
      <c r="C28" s="1">
        <f>G19</f>
        <v>0.207</v>
      </c>
      <c r="E28" s="81" t="s">
        <v>93</v>
      </c>
      <c r="F28" s="87">
        <f>G28*F15</f>
        <v>7360940.466666667</v>
      </c>
      <c r="G28" s="82">
        <v>0.012</v>
      </c>
    </row>
    <row r="29" spans="2:7" ht="12.75">
      <c r="B29" s="4" t="s">
        <v>102</v>
      </c>
      <c r="C29" s="1">
        <f>G20</f>
        <v>0.005</v>
      </c>
      <c r="E29" s="81" t="s">
        <v>94</v>
      </c>
      <c r="F29" s="87">
        <f>G29*F15</f>
        <v>54593641.79444444</v>
      </c>
      <c r="G29" s="82">
        <v>0.089</v>
      </c>
    </row>
    <row r="30" spans="2:7" ht="12.75">
      <c r="B30" s="4" t="s">
        <v>103</v>
      </c>
      <c r="C30" s="1">
        <f>G21</f>
        <v>0.159</v>
      </c>
      <c r="E30" s="81" t="s">
        <v>95</v>
      </c>
      <c r="F30" s="87">
        <f>G30*F15</f>
        <v>47232701.32777778</v>
      </c>
      <c r="G30" s="82">
        <v>0.077</v>
      </c>
    </row>
    <row r="31" spans="2:7" ht="12.75">
      <c r="B31" s="4" t="s">
        <v>104</v>
      </c>
      <c r="C31" s="1">
        <f>G22+G23</f>
        <v>0.041</v>
      </c>
      <c r="E31" s="81" t="s">
        <v>96</v>
      </c>
      <c r="F31" s="87">
        <f>G31*F15</f>
        <v>70542346.1388889</v>
      </c>
      <c r="G31" s="82">
        <v>0.115</v>
      </c>
    </row>
    <row r="32" spans="2:7" ht="12.75">
      <c r="B32" s="4" t="s">
        <v>105</v>
      </c>
      <c r="C32" s="1">
        <f>G24</f>
        <v>0.09</v>
      </c>
      <c r="E32" s="81" t="s">
        <v>97</v>
      </c>
      <c r="F32" s="87">
        <f>G32*F15</f>
        <v>8587763.877777778</v>
      </c>
      <c r="G32" s="82">
        <v>0.014</v>
      </c>
    </row>
    <row r="33" spans="2:7" ht="12.75">
      <c r="B33" s="4" t="s">
        <v>109</v>
      </c>
      <c r="C33" s="1">
        <f>SUM(G25:G30)</f>
        <v>0.336</v>
      </c>
      <c r="E33" s="81" t="s">
        <v>98</v>
      </c>
      <c r="F33" s="87">
        <f>G33*F15</f>
        <v>3067058.527777778</v>
      </c>
      <c r="G33" s="82">
        <v>0.005</v>
      </c>
    </row>
    <row r="34" spans="2:7" ht="12.75">
      <c r="B34" s="4" t="s">
        <v>106</v>
      </c>
      <c r="C34" s="1">
        <f>G31</f>
        <v>0.115</v>
      </c>
      <c r="E34" s="81" t="s">
        <v>99</v>
      </c>
      <c r="F34" s="87">
        <f>G34*F15</f>
        <v>6134117.055555556</v>
      </c>
      <c r="G34" s="82">
        <v>0.01</v>
      </c>
    </row>
    <row r="35" spans="2:7" ht="12.75">
      <c r="B35" s="4" t="s">
        <v>107</v>
      </c>
      <c r="C35" s="1">
        <f>G32</f>
        <v>0.014</v>
      </c>
      <c r="E35" s="81" t="s">
        <v>100</v>
      </c>
      <c r="F35" s="87">
        <f>G35*F15</f>
        <v>5520705.35</v>
      </c>
      <c r="G35" s="82">
        <v>0.009</v>
      </c>
    </row>
    <row r="36" spans="2:7" ht="13.5" thickBot="1">
      <c r="B36" s="5" t="s">
        <v>108</v>
      </c>
      <c r="C36" s="2">
        <f>SUM(G33:G36)</f>
        <v>0.033</v>
      </c>
      <c r="E36" s="83" t="s">
        <v>101</v>
      </c>
      <c r="F36" s="88">
        <f>G36*F15</f>
        <v>5520705.35</v>
      </c>
      <c r="G36" s="85">
        <v>0.009</v>
      </c>
    </row>
    <row r="37" spans="3:7" ht="14.25" thickBot="1" thickTop="1">
      <c r="C37" s="89">
        <f>SUM(C28:C36)</f>
        <v>1</v>
      </c>
      <c r="F37" s="90">
        <f>SUM(F19:F36)</f>
        <v>613411705.5555557</v>
      </c>
      <c r="G37" s="91">
        <f>SUM(G19:G36)</f>
        <v>1</v>
      </c>
    </row>
    <row r="38" ht="13.5" thickTop="1"/>
  </sheetData>
  <mergeCells count="8">
    <mergeCell ref="B8:C8"/>
    <mergeCell ref="E8:F8"/>
    <mergeCell ref="A1:F1"/>
    <mergeCell ref="A2:F2"/>
    <mergeCell ref="B27:C27"/>
    <mergeCell ref="A17:C17"/>
    <mergeCell ref="A18:B18"/>
    <mergeCell ref="E17:G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0" customWidth="1"/>
    <col min="2" max="2" width="11.140625" style="0" bestFit="1" customWidth="1"/>
    <col min="3" max="16384" width="8.8515625" style="0" customWidth="1"/>
  </cols>
  <sheetData>
    <row r="1" ht="12.75">
      <c r="A1" t="s">
        <v>28</v>
      </c>
    </row>
    <row r="3" ht="12.75">
      <c r="A3" t="s">
        <v>29</v>
      </c>
    </row>
    <row r="4" spans="1:4" ht="12.75">
      <c r="A4" t="s">
        <v>30</v>
      </c>
      <c r="B4" s="102">
        <v>75000000</v>
      </c>
      <c r="D4" t="s">
        <v>47</v>
      </c>
    </row>
    <row r="5" spans="1:4" ht="12.75">
      <c r="A5" t="s">
        <v>31</v>
      </c>
      <c r="B5" s="102">
        <v>15000000</v>
      </c>
      <c r="D5" t="s">
        <v>32</v>
      </c>
    </row>
    <row r="6" ht="12.75">
      <c r="D6" t="s">
        <v>43</v>
      </c>
    </row>
    <row r="7" ht="12.75">
      <c r="A7" t="s">
        <v>33</v>
      </c>
    </row>
    <row r="8" spans="1:2" ht="12.75">
      <c r="A8" t="s">
        <v>34</v>
      </c>
      <c r="B8" s="102">
        <v>10000000</v>
      </c>
    </row>
    <row r="9" spans="1:2" ht="12.75">
      <c r="A9" t="s">
        <v>31</v>
      </c>
      <c r="B9" s="102">
        <f>(50+130+20+220)*1000</f>
        <v>420000</v>
      </c>
    </row>
    <row r="11" ht="12.75">
      <c r="A11" t="s">
        <v>35</v>
      </c>
    </row>
    <row r="12" spans="1:2" ht="12.75">
      <c r="A12" t="s">
        <v>34</v>
      </c>
      <c r="B12" s="102">
        <v>1000000</v>
      </c>
    </row>
    <row r="13" spans="1:2" ht="12.75">
      <c r="A13" t="s">
        <v>36</v>
      </c>
      <c r="B13" s="102">
        <f>B9</f>
        <v>420000</v>
      </c>
    </row>
    <row r="16" ht="12.75">
      <c r="A16" t="s">
        <v>37</v>
      </c>
    </row>
    <row r="17" spans="1:4" ht="12.75">
      <c r="A17" t="s">
        <v>38</v>
      </c>
      <c r="B17" s="102">
        <v>50000000</v>
      </c>
      <c r="D17" t="s">
        <v>44</v>
      </c>
    </row>
    <row r="18" spans="1:4" ht="12.75">
      <c r="A18" t="s">
        <v>36</v>
      </c>
      <c r="B18" s="102">
        <v>25000000</v>
      </c>
      <c r="D18" t="s">
        <v>42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4">
      <selection activeCell="J7" sqref="J7"/>
    </sheetView>
  </sheetViews>
  <sheetFormatPr defaultColWidth="9.140625" defaultRowHeight="12.75"/>
  <cols>
    <col min="1" max="2" width="15.140625" style="0" customWidth="1"/>
    <col min="3" max="3" width="7.00390625" style="0" customWidth="1"/>
    <col min="4" max="4" width="8.8515625" style="0" customWidth="1"/>
    <col min="5" max="5" width="14.28125" style="0" customWidth="1"/>
    <col min="6" max="6" width="15.421875" style="0" customWidth="1"/>
    <col min="7" max="7" width="14.421875" style="0" customWidth="1"/>
    <col min="8" max="8" width="15.28125" style="0" customWidth="1"/>
    <col min="9" max="9" width="12.7109375" style="0" customWidth="1"/>
    <col min="10" max="10" width="13.8515625" style="0" customWidth="1"/>
    <col min="11" max="11" width="15.7109375" style="0" customWidth="1"/>
    <col min="12" max="16384" width="8.8515625" style="0" customWidth="1"/>
  </cols>
  <sheetData>
    <row r="1" spans="1:10" ht="24" thickTop="1">
      <c r="A1" s="236" t="s">
        <v>7</v>
      </c>
      <c r="B1" s="237"/>
      <c r="C1" s="238"/>
      <c r="D1" s="238"/>
      <c r="E1" s="238"/>
      <c r="F1" s="238"/>
      <c r="G1" s="239"/>
      <c r="I1" s="28" t="s">
        <v>71</v>
      </c>
      <c r="J1" s="29">
        <v>38108</v>
      </c>
    </row>
    <row r="2" spans="1:10" ht="13.5" thickBot="1">
      <c r="A2" s="240" t="s">
        <v>112</v>
      </c>
      <c r="B2" s="241"/>
      <c r="C2" s="242"/>
      <c r="D2" s="242"/>
      <c r="E2" s="242"/>
      <c r="F2" s="242"/>
      <c r="G2" s="243"/>
      <c r="I2" s="118" t="s">
        <v>73</v>
      </c>
      <c r="J2" s="119">
        <f>J1+J3</f>
        <v>38198</v>
      </c>
    </row>
    <row r="3" spans="1:10" ht="14.25" thickBot="1" thickTop="1">
      <c r="A3" s="120" t="s">
        <v>14</v>
      </c>
      <c r="B3" s="121">
        <f ca="1">TODAY()</f>
        <v>38092</v>
      </c>
      <c r="I3" s="31" t="s">
        <v>72</v>
      </c>
      <c r="J3" s="32">
        <v>90</v>
      </c>
    </row>
    <row r="4" ht="14.25" thickBot="1" thickTop="1"/>
    <row r="5" spans="1:10" ht="14.25" thickBot="1" thickTop="1">
      <c r="A5" s="215" t="s">
        <v>40</v>
      </c>
      <c r="B5" s="244"/>
      <c r="C5" s="216" t="s">
        <v>77</v>
      </c>
      <c r="D5" s="216"/>
      <c r="E5" s="227"/>
      <c r="F5" s="228" t="s">
        <v>8</v>
      </c>
      <c r="G5" s="227"/>
      <c r="H5" s="217" t="s">
        <v>80</v>
      </c>
      <c r="I5" s="217"/>
      <c r="J5" s="229"/>
    </row>
    <row r="6" spans="1:10" ht="13.5" thickBot="1">
      <c r="A6" s="116" t="s">
        <v>46</v>
      </c>
      <c r="B6" s="132" t="s">
        <v>24</v>
      </c>
      <c r="C6" s="230" t="s">
        <v>81</v>
      </c>
      <c r="D6" s="231"/>
      <c r="E6" s="123" t="s">
        <v>120</v>
      </c>
      <c r="F6" s="117" t="s">
        <v>81</v>
      </c>
      <c r="G6" s="123" t="s">
        <v>121</v>
      </c>
      <c r="H6" s="117" t="s">
        <v>81</v>
      </c>
      <c r="I6" s="122" t="s">
        <v>45</v>
      </c>
      <c r="J6" s="122" t="s">
        <v>122</v>
      </c>
    </row>
    <row r="7" spans="1:10" ht="12.75">
      <c r="A7" s="103" t="s">
        <v>41</v>
      </c>
      <c r="B7" s="133">
        <f>'Events''04'!B4</f>
        <v>75000000</v>
      </c>
      <c r="C7" s="245">
        <f>(B7-B9)*Programs!F11/3600</f>
        <v>0</v>
      </c>
      <c r="D7" s="246"/>
      <c r="E7" s="124">
        <f>(B7-B9)*'Data sizes'!E10/1000</f>
        <v>0</v>
      </c>
      <c r="F7" s="111">
        <f>B7*Programs!I11/3600</f>
        <v>62500</v>
      </c>
      <c r="G7" s="124">
        <f>B7*'Data sizes'!H10/1000</f>
        <v>39000000</v>
      </c>
      <c r="H7" s="111">
        <f>B7*Programs!M11/3600</f>
        <v>62500</v>
      </c>
      <c r="I7" s="130">
        <v>1</v>
      </c>
      <c r="J7" s="127">
        <f>I7*B7*'Data sizes'!M10/1000</f>
        <v>12000000</v>
      </c>
    </row>
    <row r="8" spans="1:10" ht="12.75">
      <c r="A8" s="103" t="s">
        <v>39</v>
      </c>
      <c r="B8" s="133">
        <f>'Events''04'!B8+'Events''04'!B12</f>
        <v>11000000</v>
      </c>
      <c r="C8" s="247">
        <f>(Programs!C11+Programs!F11)*'CDC''04'!B8/3600</f>
        <v>113055.55555555556</v>
      </c>
      <c r="D8" s="248"/>
      <c r="E8" s="124">
        <f>B8*('Data sizes'!C10+'Data sizes'!E10)/1000</f>
        <v>2222000</v>
      </c>
      <c r="F8" s="111">
        <f>B8*Programs!I11/3600</f>
        <v>9166.666666666666</v>
      </c>
      <c r="G8" s="124">
        <f>B8*'Data sizes'!H10/1000</f>
        <v>5720000</v>
      </c>
      <c r="H8" s="111">
        <f>B8*Programs!M11/3600</f>
        <v>9166.666666666666</v>
      </c>
      <c r="I8" s="130">
        <v>1</v>
      </c>
      <c r="J8" s="127">
        <f>I8*B8*'Data sizes'!M10/1000</f>
        <v>1760000</v>
      </c>
    </row>
    <row r="9" spans="1:10" ht="12.75">
      <c r="A9" s="103" t="s">
        <v>76</v>
      </c>
      <c r="B9" s="133">
        <f>'Events''04'!B17</f>
        <v>50000000</v>
      </c>
      <c r="C9" s="247">
        <f>(2*Programs!C11+Programs!D11+Programs!F11)*'CDC''04'!B9/3600</f>
        <v>2402777.777777778</v>
      </c>
      <c r="D9" s="248"/>
      <c r="E9" s="124">
        <f>B9*('Data sizes'!D10+'Data sizes'!E10+2*'Data sizes'!C10)/1000</f>
        <v>46200000</v>
      </c>
      <c r="F9" s="111">
        <f>B9*Programs!J11/3600</f>
        <v>62500</v>
      </c>
      <c r="G9" s="124">
        <f>B9*'Data sizes'!J10/1000</f>
        <v>52000000</v>
      </c>
      <c r="H9" s="111">
        <f>B9*Programs!O11/3600</f>
        <v>194444.44444444444</v>
      </c>
      <c r="I9" s="130">
        <v>1</v>
      </c>
      <c r="J9" s="127">
        <f>I9*B9*'Data sizes'!O10/1000</f>
        <v>20000000</v>
      </c>
    </row>
    <row r="10" spans="1:10" ht="13.5" thickBot="1">
      <c r="A10" s="104" t="s">
        <v>67</v>
      </c>
      <c r="B10" s="134">
        <f>'Events''04'!B5+'Events''04'!B9+'Events''04'!B13+'Events''04'!B18</f>
        <v>40840000</v>
      </c>
      <c r="C10" s="249">
        <f>(2*Programs!C11+Programs!D11+Programs!F11)*'CDC''04'!B10/3600</f>
        <v>1962588.888888889</v>
      </c>
      <c r="D10" s="250"/>
      <c r="E10" s="125">
        <f>B10*('Data sizes'!D10+'Data sizes'!E10+2*'Data sizes'!C10)/1000</f>
        <v>37736160</v>
      </c>
      <c r="F10" s="112">
        <f>B10*Programs!J11/3600</f>
        <v>51050</v>
      </c>
      <c r="G10" s="125">
        <f>B10*'Data sizes'!J10/1000</f>
        <v>42473600</v>
      </c>
      <c r="H10" s="112">
        <f>B10*Programs!O11/3600</f>
        <v>158822.22222222222</v>
      </c>
      <c r="I10" s="131">
        <v>1</v>
      </c>
      <c r="J10" s="128">
        <f>I10*B10*'Data sizes'!O10/1000</f>
        <v>16336000</v>
      </c>
    </row>
    <row r="11" spans="1:10" ht="14.25" thickBot="1" thickTop="1">
      <c r="A11" s="105" t="s">
        <v>78</v>
      </c>
      <c r="B11" s="135">
        <f aca="true" t="shared" si="0" ref="B11:H11">SUM(B7:B10)</f>
        <v>176840000</v>
      </c>
      <c r="C11" s="256">
        <f t="shared" si="0"/>
        <v>4478422.222222222</v>
      </c>
      <c r="D11" s="257"/>
      <c r="E11" s="126">
        <f t="shared" si="0"/>
        <v>86158160</v>
      </c>
      <c r="F11" s="113">
        <f t="shared" si="0"/>
        <v>185216.6666666667</v>
      </c>
      <c r="G11" s="126">
        <f t="shared" si="0"/>
        <v>139193600</v>
      </c>
      <c r="H11" s="113">
        <f t="shared" si="0"/>
        <v>424933.3333333334</v>
      </c>
      <c r="I11" s="42"/>
      <c r="J11" s="129">
        <f>SUM(J7:J10)</f>
        <v>50096000</v>
      </c>
    </row>
    <row r="12" ht="14.25" thickBot="1" thickTop="1"/>
    <row r="13" spans="1:10" ht="14.25" thickBot="1" thickTop="1">
      <c r="A13" s="264" t="s">
        <v>83</v>
      </c>
      <c r="B13" s="238"/>
      <c r="C13" s="238"/>
      <c r="D13" s="265"/>
      <c r="H13" s="234" t="s">
        <v>113</v>
      </c>
      <c r="I13" s="235"/>
      <c r="J13" s="136">
        <f>C11+F11+H11</f>
        <v>5088572.222222222</v>
      </c>
    </row>
    <row r="14" spans="1:10" ht="13.5" thickBot="1">
      <c r="A14" s="270" t="s">
        <v>82</v>
      </c>
      <c r="B14" s="271"/>
      <c r="C14" s="266">
        <f>J13/(J3*24)</f>
        <v>2355.8204732510285</v>
      </c>
      <c r="D14" s="267"/>
      <c r="H14" s="254" t="s">
        <v>79</v>
      </c>
      <c r="I14" s="255"/>
      <c r="J14" s="137">
        <f>J13*Programs!H2</f>
        <v>2035428888.8888888</v>
      </c>
    </row>
    <row r="15" spans="1:4" ht="14.25" thickBot="1" thickTop="1">
      <c r="A15" s="232" t="s">
        <v>63</v>
      </c>
      <c r="B15" s="233"/>
      <c r="C15" s="268">
        <f>J14/(J3*24)</f>
        <v>942328.1893004115</v>
      </c>
      <c r="D15" s="269"/>
    </row>
    <row r="16" ht="14.25" thickBot="1" thickTop="1"/>
    <row r="17" spans="1:10" ht="14.25" thickBot="1" thickTop="1">
      <c r="A17" s="258" t="s">
        <v>12</v>
      </c>
      <c r="B17" s="259"/>
      <c r="C17" s="260" t="s">
        <v>58</v>
      </c>
      <c r="D17" s="261"/>
      <c r="E17" s="183" t="s">
        <v>57</v>
      </c>
      <c r="F17" s="225" t="s">
        <v>53</v>
      </c>
      <c r="H17" s="262" t="s">
        <v>25</v>
      </c>
      <c r="I17" s="263"/>
      <c r="J17" s="229"/>
    </row>
    <row r="18" spans="1:10" ht="14.25" customHeight="1" thickBot="1">
      <c r="A18" s="142" t="s">
        <v>10</v>
      </c>
      <c r="B18" s="143" t="s">
        <v>11</v>
      </c>
      <c r="C18" s="185" t="s">
        <v>59</v>
      </c>
      <c r="D18" s="186" t="s">
        <v>56</v>
      </c>
      <c r="E18" s="184" t="s">
        <v>59</v>
      </c>
      <c r="F18" s="226"/>
      <c r="H18" s="138" t="s">
        <v>74</v>
      </c>
      <c r="I18" s="114" t="s">
        <v>118</v>
      </c>
      <c r="J18" s="115" t="s">
        <v>119</v>
      </c>
    </row>
    <row r="19" spans="1:10" ht="12.75">
      <c r="A19" s="148" t="s">
        <v>84</v>
      </c>
      <c r="B19" s="149">
        <v>851450800</v>
      </c>
      <c r="C19" s="150">
        <f>B19/B33</f>
        <v>0.21180648460322907</v>
      </c>
      <c r="D19" s="151">
        <f aca="true" t="shared" si="1" ref="D19:D24">C19</f>
        <v>0.21180648460322907</v>
      </c>
      <c r="E19" s="152">
        <f>B19/J14</f>
        <v>0.41831517900131343</v>
      </c>
      <c r="F19" s="179">
        <f>J22</f>
        <v>50096</v>
      </c>
      <c r="H19" s="139" t="s">
        <v>75</v>
      </c>
      <c r="I19" s="106">
        <f>(E7+E8)/1000</f>
        <v>2222</v>
      </c>
      <c r="J19" s="109">
        <f>(J7+J8)/1000</f>
        <v>13760</v>
      </c>
    </row>
    <row r="20" spans="1:10" ht="12.75">
      <c r="A20" s="157" t="s">
        <v>55</v>
      </c>
      <c r="B20" s="158">
        <v>0</v>
      </c>
      <c r="C20" s="159">
        <f>B20/B33</f>
        <v>0</v>
      </c>
      <c r="D20" s="160">
        <f t="shared" si="1"/>
        <v>0</v>
      </c>
      <c r="E20" s="161">
        <f>B20/J14</f>
        <v>0</v>
      </c>
      <c r="F20" s="180">
        <f>C20*(J22)</f>
        <v>0</v>
      </c>
      <c r="H20" s="139" t="s">
        <v>76</v>
      </c>
      <c r="I20" s="106">
        <f>E9/1000</f>
        <v>46200</v>
      </c>
      <c r="J20" s="109">
        <f>J9/1000</f>
        <v>20000</v>
      </c>
    </row>
    <row r="21" spans="1:10" ht="13.5" thickBot="1">
      <c r="A21" s="157" t="s">
        <v>52</v>
      </c>
      <c r="B21" s="153">
        <v>19440000</v>
      </c>
      <c r="C21" s="154">
        <f>B21/B33</f>
        <v>0.004835884892805049</v>
      </c>
      <c r="D21" s="155">
        <f t="shared" si="1"/>
        <v>0.004835884892805049</v>
      </c>
      <c r="E21" s="156">
        <f>B21/J14</f>
        <v>0.009550812659739744</v>
      </c>
      <c r="F21" s="180">
        <f>C21*(J22)</f>
        <v>242.25848958996173</v>
      </c>
      <c r="H21" s="140" t="s">
        <v>67</v>
      </c>
      <c r="I21" s="108">
        <f>E10/1000</f>
        <v>37736.16</v>
      </c>
      <c r="J21" s="109">
        <f>J10/1000</f>
        <v>16336</v>
      </c>
    </row>
    <row r="22" spans="1:10" ht="14.25" thickBot="1" thickTop="1">
      <c r="A22" s="157" t="s">
        <v>86</v>
      </c>
      <c r="B22" s="158">
        <v>650000000</v>
      </c>
      <c r="C22" s="159">
        <f>B22/B33</f>
        <v>0.16169368211539517</v>
      </c>
      <c r="D22" s="160">
        <f t="shared" si="1"/>
        <v>0.16169368211539517</v>
      </c>
      <c r="E22" s="161">
        <f>B22/J14</f>
        <v>0.31934301588635977</v>
      </c>
      <c r="F22" s="180">
        <f>C22*(J22)</f>
        <v>8100.206699252836</v>
      </c>
      <c r="H22" s="141" t="s">
        <v>24</v>
      </c>
      <c r="I22" s="107">
        <f>SUM(I19:I21)</f>
        <v>86158.16</v>
      </c>
      <c r="J22" s="110">
        <f>SUM(J19:J21)</f>
        <v>50096</v>
      </c>
    </row>
    <row r="23" spans="1:11" ht="13.5" thickTop="1">
      <c r="A23" s="157" t="s">
        <v>48</v>
      </c>
      <c r="B23" s="158">
        <v>121656000</v>
      </c>
      <c r="C23" s="159">
        <f>B23/B33</f>
        <v>0.03026308706373925</v>
      </c>
      <c r="D23" s="160">
        <f t="shared" si="1"/>
        <v>0.03026308706373925</v>
      </c>
      <c r="E23" s="161">
        <f>B23/J14</f>
        <v>0.059769221447186126</v>
      </c>
      <c r="F23" s="180">
        <f>C23*(J22)</f>
        <v>1516.0596095450815</v>
      </c>
      <c r="H23" s="147"/>
      <c r="K23" s="52"/>
    </row>
    <row r="24" spans="1:8" ht="12.75">
      <c r="A24" s="157" t="s">
        <v>89</v>
      </c>
      <c r="B24" s="158">
        <v>367200000</v>
      </c>
      <c r="C24" s="159">
        <f>B24/B33</f>
        <v>0.09134449241965092</v>
      </c>
      <c r="D24" s="160">
        <f t="shared" si="1"/>
        <v>0.09134449241965092</v>
      </c>
      <c r="E24" s="161">
        <f>B24/J14</f>
        <v>0.18040423912841738</v>
      </c>
      <c r="F24" s="180">
        <f>C24*(J22)</f>
        <v>4575.993692254833</v>
      </c>
      <c r="H24" s="147"/>
    </row>
    <row r="25" spans="1:8" ht="12.75">
      <c r="A25" s="167" t="s">
        <v>92</v>
      </c>
      <c r="B25" s="168">
        <v>400000000</v>
      </c>
      <c r="C25" s="169">
        <f>B25/B33</f>
        <v>0.09950380437870471</v>
      </c>
      <c r="D25" s="251">
        <f>SUM(E25:E28)</f>
        <v>0.5949606034436641</v>
      </c>
      <c r="E25" s="170">
        <f>B25/J14</f>
        <v>0.1965187790069906</v>
      </c>
      <c r="F25" s="180">
        <f>C25*(J22)</f>
        <v>4984.742584155591</v>
      </c>
      <c r="H25" s="147"/>
    </row>
    <row r="26" spans="1:8" ht="12.75">
      <c r="A26" s="171" t="s">
        <v>49</v>
      </c>
      <c r="B26" s="172">
        <v>398000000</v>
      </c>
      <c r="C26" s="173">
        <f>B26/B33</f>
        <v>0.09900628535681119</v>
      </c>
      <c r="D26" s="252"/>
      <c r="E26" s="174">
        <f>B26/J14</f>
        <v>0.19553618511195567</v>
      </c>
      <c r="F26" s="180">
        <f>C26*(J22)</f>
        <v>4959.818871234814</v>
      </c>
      <c r="H26" s="147"/>
    </row>
    <row r="27" spans="1:8" ht="12.75">
      <c r="A27" s="171" t="s">
        <v>94</v>
      </c>
      <c r="B27" s="172">
        <v>366000000</v>
      </c>
      <c r="C27" s="173">
        <f>B27/B33</f>
        <v>0.09104598100651481</v>
      </c>
      <c r="D27" s="252"/>
      <c r="E27" s="174">
        <f>B27/J14</f>
        <v>0.17981468279139642</v>
      </c>
      <c r="F27" s="180">
        <f>C27*(J22)</f>
        <v>4561.039464502366</v>
      </c>
      <c r="H27" s="147"/>
    </row>
    <row r="28" spans="1:8" ht="12.75">
      <c r="A28" s="175" t="s">
        <v>95</v>
      </c>
      <c r="B28" s="176">
        <v>47000000</v>
      </c>
      <c r="C28" s="177">
        <f>B28/B33</f>
        <v>0.011691697014497803</v>
      </c>
      <c r="D28" s="253"/>
      <c r="E28" s="178">
        <f>B28/J14</f>
        <v>0.023090956533321397</v>
      </c>
      <c r="F28" s="180">
        <f>C28*(J22)</f>
        <v>585.7072536382819</v>
      </c>
      <c r="H28" s="147"/>
    </row>
    <row r="29" spans="1:8" ht="12.75">
      <c r="A29" s="157" t="s">
        <v>96</v>
      </c>
      <c r="B29" s="158">
        <v>432000000</v>
      </c>
      <c r="C29" s="159">
        <f>B29/B33</f>
        <v>0.10746410872900108</v>
      </c>
      <c r="D29" s="160">
        <f>C29</f>
        <v>0.10746410872900108</v>
      </c>
      <c r="E29" s="161">
        <f>B29/J14</f>
        <v>0.21224028132754985</v>
      </c>
      <c r="F29" s="180">
        <f>C29*(J22)</f>
        <v>5383.521990888038</v>
      </c>
      <c r="H29" s="147"/>
    </row>
    <row r="30" spans="1:8" ht="12.75">
      <c r="A30" s="157" t="s">
        <v>54</v>
      </c>
      <c r="B30" s="158">
        <v>162000000</v>
      </c>
      <c r="C30" s="159">
        <f>B30/B33</f>
        <v>0.04029904077337541</v>
      </c>
      <c r="D30" s="160">
        <f>C30</f>
        <v>0.04029904077337541</v>
      </c>
      <c r="E30" s="161">
        <f>B30/J14</f>
        <v>0.0795901054978312</v>
      </c>
      <c r="F30" s="180">
        <f>C30*(J22)</f>
        <v>2018.8207465830144</v>
      </c>
      <c r="H30" s="147"/>
    </row>
    <row r="31" spans="1:8" ht="12.75">
      <c r="A31" s="157" t="s">
        <v>50</v>
      </c>
      <c r="B31" s="158">
        <v>75600000</v>
      </c>
      <c r="C31" s="159">
        <f>B31/B33</f>
        <v>0.01880621902757519</v>
      </c>
      <c r="D31" s="160">
        <f>C31</f>
        <v>0.01880621902757519</v>
      </c>
      <c r="E31" s="161">
        <f>B31/J14</f>
        <v>0.03714204923232123</v>
      </c>
      <c r="F31" s="180">
        <f>C31*(J22)</f>
        <v>942.1163484054068</v>
      </c>
      <c r="H31" s="147"/>
    </row>
    <row r="32" spans="1:8" ht="13.5" thickBot="1">
      <c r="A32" s="162" t="s">
        <v>51</v>
      </c>
      <c r="B32" s="163">
        <v>129600000</v>
      </c>
      <c r="C32" s="164">
        <f>B32/B33</f>
        <v>0.03223923261870033</v>
      </c>
      <c r="D32" s="165">
        <f>C32</f>
        <v>0.03223923261870033</v>
      </c>
      <c r="E32" s="166">
        <f>B32/J14</f>
        <v>0.06367208439826495</v>
      </c>
      <c r="F32" s="181">
        <f>C32*(J22)</f>
        <v>1615.0565972664115</v>
      </c>
      <c r="H32" s="147"/>
    </row>
    <row r="33" spans="2:8" ht="14.25" thickBot="1" thickTop="1">
      <c r="B33" s="146">
        <f>SUM(B19:B32)</f>
        <v>4019946800</v>
      </c>
      <c r="C33" s="145">
        <f>SUM(C19:C32)</f>
        <v>1</v>
      </c>
      <c r="D33" s="182">
        <f>C33</f>
        <v>1</v>
      </c>
      <c r="E33" s="144">
        <f>B33/J14</f>
        <v>1.9749875920226478</v>
      </c>
      <c r="F33" s="96">
        <f>SUM(F19:F32)</f>
        <v>89581.34234731665</v>
      </c>
      <c r="H33" s="147"/>
    </row>
    <row r="34" ht="13.5" thickTop="1"/>
  </sheetData>
  <mergeCells count="24">
    <mergeCell ref="D25:D28"/>
    <mergeCell ref="H14:I14"/>
    <mergeCell ref="C11:D11"/>
    <mergeCell ref="A17:B17"/>
    <mergeCell ref="C17:D17"/>
    <mergeCell ref="H17:J17"/>
    <mergeCell ref="A13:D13"/>
    <mergeCell ref="C14:D14"/>
    <mergeCell ref="C15:D15"/>
    <mergeCell ref="A14:B14"/>
    <mergeCell ref="A15:B15"/>
    <mergeCell ref="H13:I13"/>
    <mergeCell ref="A1:G1"/>
    <mergeCell ref="A2:G2"/>
    <mergeCell ref="A5:B5"/>
    <mergeCell ref="C7:D7"/>
    <mergeCell ref="C8:D8"/>
    <mergeCell ref="C9:D9"/>
    <mergeCell ref="C10:D10"/>
    <mergeCell ref="F17:F18"/>
    <mergeCell ref="C5:E5"/>
    <mergeCell ref="F5:G5"/>
    <mergeCell ref="H5:J5"/>
    <mergeCell ref="C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cattaneo</dc:creator>
  <cp:keywords/>
  <dc:description/>
  <cp:lastModifiedBy>cattaneo</cp:lastModifiedBy>
  <cp:lastPrinted>2004-04-15T12:27:30Z</cp:lastPrinted>
  <dcterms:created xsi:type="dcterms:W3CDTF">2003-05-22T15:51:06Z</dcterms:created>
  <dcterms:modified xsi:type="dcterms:W3CDTF">2004-04-15T12:52:40Z</dcterms:modified>
  <cp:category/>
  <cp:version/>
  <cp:contentType/>
  <cp:contentStatus/>
</cp:coreProperties>
</file>